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E:\ARCHIVOS\PERSONAL\Club Montañero Carbonero\Presupuesto 2024\"/>
    </mc:Choice>
  </mc:AlternateContent>
  <xr:revisionPtr revIDLastSave="0" documentId="13_ncr:1_{DD6052FB-C6B0-41E9-8553-4023F0A97056}" xr6:coauthVersionLast="47" xr6:coauthVersionMax="47" xr10:uidLastSave="{00000000-0000-0000-0000-000000000000}"/>
  <bookViews>
    <workbookView xWindow="-120" yWindow="-120" windowWidth="29040" windowHeight="15990" activeTab="2" xr2:uid="{00000000-000D-0000-FFFF-FFFF00000000}"/>
  </bookViews>
  <sheets>
    <sheet name="LICENCIAS FEDERATIVAS" sheetId="1" r:id="rId1"/>
    <sheet name="RUTAS-SOCIOS" sheetId="2" r:id="rId2"/>
    <sheet name="INVERSIONES-GTO.CORRIENTE" sheetId="3" r:id="rId3"/>
    <sheet name="RESULTADOS" sheetId="7" r:id="rId4"/>
    <sheet name="TESORERIA" sheetId="5" r:id="rId5"/>
    <sheet name="Descuentos"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 i="6" l="1"/>
  <c r="J4" i="6"/>
  <c r="J2" i="6"/>
  <c r="B38" i="3"/>
  <c r="C28" i="3"/>
  <c r="E19" i="7" s="1"/>
  <c r="C27" i="3"/>
  <c r="E18" i="7" s="1"/>
  <c r="C26" i="3"/>
  <c r="E17" i="7" s="1"/>
  <c r="C25" i="3"/>
  <c r="E16" i="7" s="1"/>
  <c r="C24" i="3"/>
  <c r="E15" i="7" s="1"/>
  <c r="C23" i="3"/>
  <c r="E14" i="7" s="1"/>
  <c r="C22" i="3"/>
  <c r="C7" i="2"/>
  <c r="B8" i="7" s="1"/>
  <c r="D4" i="6"/>
  <c r="E13" i="7"/>
  <c r="C21" i="3"/>
  <c r="E22" i="7"/>
  <c r="E6" i="7"/>
  <c r="E7" i="7"/>
  <c r="E8" i="7"/>
  <c r="E9" i="7"/>
  <c r="E10" i="7"/>
  <c r="E11" i="7"/>
  <c r="E20" i="7"/>
  <c r="E21" i="7"/>
  <c r="E5" i="7"/>
  <c r="B5" i="7"/>
  <c r="B6" i="7"/>
  <c r="B9" i="7"/>
  <c r="A6" i="7"/>
  <c r="A7" i="7"/>
  <c r="A8" i="7"/>
  <c r="A9" i="7"/>
  <c r="A5" i="7"/>
  <c r="B32" i="3"/>
  <c r="C14" i="3"/>
  <c r="B14" i="3"/>
  <c r="E4" i="3"/>
  <c r="E5" i="3"/>
  <c r="E8" i="3"/>
  <c r="E3" i="3"/>
  <c r="B5" i="2"/>
  <c r="C5" i="2"/>
  <c r="M2" i="6"/>
  <c r="M3" i="6"/>
  <c r="K3" i="6"/>
  <c r="D3" i="6"/>
  <c r="K2" i="6"/>
  <c r="D2" i="6"/>
  <c r="F2" i="6" s="1"/>
  <c r="G2" i="6" s="1"/>
  <c r="H2" i="6" s="1"/>
  <c r="N2" i="6" s="1"/>
  <c r="M4" i="6" l="1"/>
  <c r="M5" i="6" s="1"/>
  <c r="C6" i="2" s="1"/>
  <c r="D6" i="2" s="1"/>
  <c r="K4" i="6"/>
  <c r="C32" i="3"/>
  <c r="E12" i="7"/>
  <c r="D14" i="3"/>
  <c r="F3" i="6"/>
  <c r="G3" i="6" s="1"/>
  <c r="H3" i="6" s="1"/>
  <c r="N3" i="6" s="1"/>
  <c r="F4" i="6"/>
  <c r="G4" i="6" s="1"/>
  <c r="H4" i="6" s="1"/>
  <c r="N4" i="6" s="1"/>
  <c r="D26" i="3"/>
  <c r="B15" i="3"/>
  <c r="C7" i="3"/>
  <c r="E7" i="3" s="1"/>
  <c r="C6" i="3"/>
  <c r="E6" i="3" s="1"/>
  <c r="E9" i="3" s="1"/>
  <c r="N5" i="6" l="1"/>
  <c r="B7" i="7"/>
  <c r="B24" i="7" s="1"/>
  <c r="D27" i="3"/>
  <c r="D28" i="3"/>
  <c r="D25" i="3"/>
  <c r="D24" i="3"/>
  <c r="D23" i="3"/>
  <c r="D7" i="3"/>
  <c r="D22" i="3"/>
  <c r="D5" i="3"/>
  <c r="D20" i="3"/>
  <c r="D41" i="1"/>
  <c r="B4" i="5"/>
  <c r="C32" i="1"/>
  <c r="C33" i="1"/>
  <c r="C34" i="1"/>
  <c r="C35" i="1"/>
  <c r="C36" i="1"/>
  <c r="C37" i="1"/>
  <c r="C31" i="1"/>
  <c r="C30" i="1"/>
  <c r="D17" i="3"/>
  <c r="F11" i="1"/>
  <c r="F10" i="1"/>
  <c r="F9" i="1"/>
  <c r="F8" i="1"/>
  <c r="F7" i="1"/>
  <c r="F6" i="1"/>
  <c r="F5" i="1"/>
  <c r="F4" i="1"/>
  <c r="D16" i="3"/>
  <c r="D18" i="3"/>
  <c r="D19" i="3"/>
  <c r="D31" i="3"/>
  <c r="D30" i="3"/>
  <c r="D29" i="3"/>
  <c r="D15" i="3"/>
  <c r="C9" i="3"/>
  <c r="B9" i="3"/>
  <c r="D4" i="3"/>
  <c r="D6" i="3"/>
  <c r="D8" i="3"/>
  <c r="D3" i="3"/>
  <c r="D18" i="1"/>
  <c r="D19" i="1"/>
  <c r="D20" i="1"/>
  <c r="D21" i="1"/>
  <c r="D22" i="1"/>
  <c r="D23" i="1"/>
  <c r="D24" i="1"/>
  <c r="D17" i="1"/>
  <c r="C5" i="1"/>
  <c r="B31" i="1" s="1"/>
  <c r="C6" i="1"/>
  <c r="B32" i="1" s="1"/>
  <c r="C7" i="1"/>
  <c r="B33" i="1" s="1"/>
  <c r="C8" i="1"/>
  <c r="B34" i="1" s="1"/>
  <c r="C9" i="1"/>
  <c r="B35" i="1" s="1"/>
  <c r="C10" i="1"/>
  <c r="B36" i="1" s="1"/>
  <c r="C11" i="1"/>
  <c r="B37" i="1" s="1"/>
  <c r="D37" i="1" s="1"/>
  <c r="C4" i="1"/>
  <c r="B30" i="1" s="1"/>
  <c r="B12" i="1"/>
  <c r="D9" i="3" l="1"/>
  <c r="D35" i="1"/>
  <c r="D34" i="1"/>
  <c r="D36" i="1"/>
  <c r="D32" i="1"/>
  <c r="D33" i="1"/>
  <c r="D30" i="1"/>
  <c r="B4" i="2"/>
  <c r="B7" i="2" s="1"/>
  <c r="D7" i="2" s="1"/>
  <c r="B38" i="1"/>
  <c r="D31" i="1"/>
  <c r="C12" i="1"/>
  <c r="D38" i="1" l="1"/>
  <c r="D5" i="2"/>
  <c r="D12" i="1"/>
  <c r="C4" i="2" l="1"/>
  <c r="C41" i="1"/>
  <c r="D21" i="3"/>
  <c r="D4" i="2" l="1"/>
  <c r="C9" i="2"/>
  <c r="B5" i="5" s="1"/>
  <c r="B6" i="5"/>
  <c r="D32" i="3"/>
  <c r="D9" i="2" l="1"/>
  <c r="B37" i="3"/>
  <c r="B39" i="3" s="1"/>
  <c r="C39" i="3" s="1"/>
  <c r="B7" i="5"/>
  <c r="E24" i="7"/>
  <c r="G23" i="7" s="1"/>
</calcChain>
</file>

<file path=xl/sharedStrings.xml><?xml version="1.0" encoding="utf-8"?>
<sst xmlns="http://schemas.openxmlformats.org/spreadsheetml/2006/main" count="140" uniqueCount="91">
  <si>
    <t>Nº Licencias</t>
  </si>
  <si>
    <t>A</t>
  </si>
  <si>
    <t>A-IS</t>
  </si>
  <si>
    <t>A-ESC</t>
  </si>
  <si>
    <t>A1</t>
  </si>
  <si>
    <t>A+</t>
  </si>
  <si>
    <t>B</t>
  </si>
  <si>
    <t>A65</t>
  </si>
  <si>
    <t>B+</t>
  </si>
  <si>
    <t>% Var.</t>
  </si>
  <si>
    <t>Prespto. 2024</t>
  </si>
  <si>
    <t>LICENCIAS CLUB MONTAÑERO CARBONERO (CMC)</t>
  </si>
  <si>
    <t>Precio Licencias</t>
  </si>
  <si>
    <t>PRECIO LICENCIAS</t>
  </si>
  <si>
    <t>Precio</t>
  </si>
  <si>
    <t>Importe</t>
  </si>
  <si>
    <t>PRESUPUESTO TOTAL GASTOS X LICENCIAS-CMC 2024</t>
  </si>
  <si>
    <t>GPS</t>
  </si>
  <si>
    <t>Walkie-Talkies</t>
  </si>
  <si>
    <t>Banderas</t>
  </si>
  <si>
    <t>Otros</t>
  </si>
  <si>
    <t>INVERSIONES</t>
  </si>
  <si>
    <t>GASTO CORRIENTE</t>
  </si>
  <si>
    <t>Botiquines</t>
  </si>
  <si>
    <t>Seguro R.C.</t>
  </si>
  <si>
    <t>Wordpress</t>
  </si>
  <si>
    <t>Bota vino</t>
  </si>
  <si>
    <t>Gtos comida</t>
  </si>
  <si>
    <t>Saldo inicial</t>
  </si>
  <si>
    <t>BANCO</t>
  </si>
  <si>
    <t>Cobros</t>
  </si>
  <si>
    <t>Pagos</t>
  </si>
  <si>
    <t>Saldo final</t>
  </si>
  <si>
    <t>Gasto x licencias 2023</t>
  </si>
  <si>
    <t>PRESUPUESTO TOTAL INGRESOS 2024</t>
  </si>
  <si>
    <t>Seguro accidentes</t>
  </si>
  <si>
    <t>No conocemos periodicidad de los cobros y pagos</t>
  </si>
  <si>
    <t>Licencias Federativas</t>
  </si>
  <si>
    <t>TOTAL INGRESOS  CLUB</t>
  </si>
  <si>
    <t>Cuotas socios</t>
  </si>
  <si>
    <t>Inscripción rutas</t>
  </si>
  <si>
    <t>Entre 12-15 personas * ruta</t>
  </si>
  <si>
    <t>Pago rutas 2023 (45 rutas)</t>
  </si>
  <si>
    <t>Camisetas</t>
  </si>
  <si>
    <t>Para las cuotas de socio he considerado una cuota lineal de 24 €/año</t>
  </si>
  <si>
    <t>La inscripción en rutas en 2023 (45), ha supuesto una media de 12-18 inscripciones x ruta (3-5 €)</t>
  </si>
  <si>
    <t>Respecto a 2024, tanto importe total de licencias como de cuotas de socio, corresponden al incremento de socios presupuestada, así como los importes tanto de licencias federativas como de cuotas de socios, que corresponden a los importes aprobados tanto por la Federación Andaluza como por el Club  Montañero Carbonero.</t>
  </si>
  <si>
    <t>Para la inscripción de rutas, hemos considerado una inscripción por ruta (45 rutas) , de 15 personas de media, a 5€/persona (no federados).</t>
  </si>
  <si>
    <t>Reposición vino</t>
  </si>
  <si>
    <t>Sello caucho</t>
  </si>
  <si>
    <t>Banderín</t>
  </si>
  <si>
    <t>Mochilas escudo</t>
  </si>
  <si>
    <t>Carteles club</t>
  </si>
  <si>
    <t>Cortavientos</t>
  </si>
  <si>
    <t>Forro Polar</t>
  </si>
  <si>
    <t>Subvención Ayto.Carboneras</t>
  </si>
  <si>
    <t>RESULTADOS</t>
  </si>
  <si>
    <t>Ingresos</t>
  </si>
  <si>
    <t>Gastos</t>
  </si>
  <si>
    <t>%</t>
  </si>
  <si>
    <t>Braga cuello</t>
  </si>
  <si>
    <t>Pin escudo</t>
  </si>
  <si>
    <t>Tarjeta club</t>
  </si>
  <si>
    <t>Margen Beneficio</t>
  </si>
  <si>
    <t>Artículo</t>
  </si>
  <si>
    <t>Unidades</t>
  </si>
  <si>
    <t>Total</t>
  </si>
  <si>
    <t>IVA</t>
  </si>
  <si>
    <t>Importe IVA</t>
  </si>
  <si>
    <t>Total + IVA</t>
  </si>
  <si>
    <t>Precio por unidad</t>
  </si>
  <si>
    <t>Descuento club/unidad</t>
  </si>
  <si>
    <t>Total descuento club</t>
  </si>
  <si>
    <t>Precio final socia/o</t>
  </si>
  <si>
    <t>Camiseta tipo full print</t>
  </si>
  <si>
    <t>Cortavientos tipo full print</t>
  </si>
  <si>
    <t>Forro polar con escudo bordado</t>
  </si>
  <si>
    <t>Mochila</t>
  </si>
  <si>
    <t>REGALO CLUB</t>
  </si>
  <si>
    <t>PIN</t>
  </si>
  <si>
    <t>pañuelo</t>
  </si>
  <si>
    <t>carnet</t>
  </si>
  <si>
    <t>Venta equipaciones/ complementos Club</t>
  </si>
  <si>
    <t>Ingreso</t>
  </si>
  <si>
    <t>Amortz.(5 años)</t>
  </si>
  <si>
    <t>Licencias federativas</t>
  </si>
  <si>
    <t>TOTALES</t>
  </si>
  <si>
    <t>PRESUPUESTO DE LA CUENTA DE RESULTADOS DEL CLUB MONTAÑERO CARBONERO-2024</t>
  </si>
  <si>
    <t>Amortización Inversiones</t>
  </si>
  <si>
    <t>Coste</t>
  </si>
  <si>
    <t>PERDIDAS Y GANANCIAS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</si>
</sst>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5"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1"/>
      <name val="Calibri"/>
      <family val="2"/>
      <scheme val="minor"/>
    </font>
    <font>
      <b/>
      <sz val="11"/>
      <color rgb="FF0070C0"/>
      <name val="Calibri"/>
      <family val="2"/>
      <scheme val="minor"/>
    </font>
    <font>
      <b/>
      <sz val="12"/>
      <color rgb="FF0070C0"/>
      <name val="Calibri"/>
      <family val="2"/>
      <scheme val="minor"/>
    </font>
    <font>
      <sz val="11"/>
      <color rgb="FF0070C0"/>
      <name val="Calibri"/>
      <family val="2"/>
      <scheme val="minor"/>
    </font>
    <font>
      <sz val="12"/>
      <color rgb="FF0070C0"/>
      <name val="Calibri"/>
      <family val="2"/>
      <scheme val="minor"/>
    </font>
    <font>
      <sz val="11"/>
      <name val="Calibri"/>
      <family val="2"/>
      <scheme val="minor"/>
    </font>
    <font>
      <b/>
      <sz val="11"/>
      <color rgb="FF002060"/>
      <name val="Calibri"/>
      <family val="2"/>
      <scheme val="minor"/>
    </font>
    <font>
      <sz val="11"/>
      <color theme="1"/>
      <name val="Calibri"/>
      <family val="2"/>
      <scheme val="minor"/>
    </font>
    <font>
      <b/>
      <sz val="11"/>
      <color rgb="FFFF0000"/>
      <name val="Calibri"/>
      <family val="2"/>
      <scheme val="minor"/>
    </font>
    <font>
      <b/>
      <sz val="14"/>
      <color rgb="FF0070C0"/>
      <name val="Calibri"/>
      <family val="2"/>
      <scheme val="minor"/>
    </font>
    <font>
      <sz val="11"/>
      <color rgb="FFFF0000"/>
      <name val="Calibri"/>
      <family val="2"/>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right/>
      <top/>
      <bottom style="thin">
        <color indexed="64"/>
      </bottom>
      <diagonal/>
    </border>
  </borders>
  <cellStyleXfs count="2">
    <xf numFmtId="0" fontId="0" fillId="0" borderId="0"/>
    <xf numFmtId="9" fontId="11" fillId="0" borderId="0" applyFont="0" applyFill="0" applyBorder="0" applyAlignment="0" applyProtection="0"/>
  </cellStyleXfs>
  <cellXfs count="61">
    <xf numFmtId="0" fontId="0" fillId="0" borderId="0" xfId="0"/>
    <xf numFmtId="0" fontId="2" fillId="0" borderId="0" xfId="0" applyFont="1"/>
    <xf numFmtId="0" fontId="2" fillId="0" borderId="0" xfId="0" applyFont="1" applyAlignment="1">
      <alignment horizontal="center"/>
    </xf>
    <xf numFmtId="0" fontId="0" fillId="0" borderId="0" xfId="0" applyAlignment="1">
      <alignment horizontal="center"/>
    </xf>
    <xf numFmtId="0" fontId="2" fillId="0" borderId="1" xfId="0" applyFont="1" applyBorder="1" applyAlignment="1">
      <alignment horizontal="center"/>
    </xf>
    <xf numFmtId="1" fontId="0" fillId="0" borderId="0" xfId="0" applyNumberFormat="1" applyAlignment="1">
      <alignment horizontal="center"/>
    </xf>
    <xf numFmtId="1" fontId="0" fillId="0" borderId="1" xfId="0" applyNumberFormat="1" applyBorder="1" applyAlignment="1">
      <alignment horizontal="center"/>
    </xf>
    <xf numFmtId="1" fontId="2" fillId="0" borderId="0" xfId="0" applyNumberFormat="1" applyFont="1" applyAlignment="1">
      <alignment horizontal="center"/>
    </xf>
    <xf numFmtId="10" fontId="0" fillId="0" borderId="0" xfId="0" applyNumberFormat="1" applyAlignment="1">
      <alignment horizontal="center"/>
    </xf>
    <xf numFmtId="9" fontId="2" fillId="0" borderId="0" xfId="0" applyNumberFormat="1" applyFont="1"/>
    <xf numFmtId="9" fontId="2" fillId="0" borderId="0" xfId="0" applyNumberFormat="1" applyFont="1" applyAlignment="1">
      <alignment horizontal="center"/>
    </xf>
    <xf numFmtId="9" fontId="2" fillId="0" borderId="1" xfId="0" applyNumberFormat="1" applyFont="1" applyBorder="1" applyAlignment="1">
      <alignment horizontal="center"/>
    </xf>
    <xf numFmtId="0" fontId="5" fillId="0" borderId="0" xfId="0" applyFont="1"/>
    <xf numFmtId="0" fontId="6" fillId="0" borderId="0" xfId="0" applyFont="1"/>
    <xf numFmtId="0" fontId="7" fillId="0" borderId="0" xfId="0" applyFont="1" applyAlignment="1">
      <alignment horizontal="center"/>
    </xf>
    <xf numFmtId="0" fontId="7" fillId="0" borderId="0" xfId="0" applyFont="1"/>
    <xf numFmtId="0" fontId="4" fillId="0" borderId="0" xfId="0" applyFont="1" applyAlignment="1">
      <alignment horizontal="center"/>
    </xf>
    <xf numFmtId="9" fontId="4" fillId="0" borderId="0" xfId="0" applyNumberFormat="1" applyFont="1" applyAlignment="1">
      <alignment horizontal="center"/>
    </xf>
    <xf numFmtId="4" fontId="2" fillId="0" borderId="0" xfId="0" applyNumberFormat="1" applyFont="1" applyAlignment="1">
      <alignment horizontal="right"/>
    </xf>
    <xf numFmtId="4" fontId="2" fillId="0" borderId="1" xfId="0" applyNumberFormat="1" applyFont="1" applyBorder="1" applyAlignment="1">
      <alignment horizontal="right"/>
    </xf>
    <xf numFmtId="4" fontId="0" fillId="0" borderId="0" xfId="0" applyNumberFormat="1"/>
    <xf numFmtId="4" fontId="0" fillId="0" borderId="1" xfId="0" applyNumberFormat="1" applyBorder="1"/>
    <xf numFmtId="4" fontId="2" fillId="0" borderId="0" xfId="0" applyNumberFormat="1" applyFont="1"/>
    <xf numFmtId="0" fontId="1" fillId="0" borderId="0" xfId="0" applyFont="1"/>
    <xf numFmtId="0" fontId="3" fillId="0" borderId="0" xfId="0" applyFont="1"/>
    <xf numFmtId="10" fontId="2" fillId="0" borderId="0" xfId="0" applyNumberFormat="1" applyFont="1" applyAlignment="1">
      <alignment horizontal="center"/>
    </xf>
    <xf numFmtId="0" fontId="8" fillId="0" borderId="0" xfId="0" applyFont="1" applyAlignment="1">
      <alignment horizontal="center"/>
    </xf>
    <xf numFmtId="0" fontId="8" fillId="0" borderId="0" xfId="0" applyFont="1"/>
    <xf numFmtId="9" fontId="6" fillId="0" borderId="0" xfId="0" applyNumberFormat="1" applyFont="1"/>
    <xf numFmtId="10" fontId="0" fillId="0" borderId="1" xfId="0" applyNumberFormat="1" applyBorder="1" applyAlignment="1">
      <alignment horizontal="center"/>
    </xf>
    <xf numFmtId="0" fontId="0" fillId="0" borderId="1" xfId="0" applyBorder="1"/>
    <xf numFmtId="0" fontId="4" fillId="2" borderId="0" xfId="0" applyFont="1" applyFill="1"/>
    <xf numFmtId="0" fontId="9" fillId="2" borderId="0" xfId="0" applyFont="1" applyFill="1" applyAlignment="1">
      <alignment horizontal="center"/>
    </xf>
    <xf numFmtId="4" fontId="4" fillId="2" borderId="0" xfId="0" applyNumberFormat="1" applyFont="1" applyFill="1"/>
    <xf numFmtId="0" fontId="0" fillId="0" borderId="1" xfId="0" applyBorder="1" applyAlignment="1">
      <alignment horizontal="center"/>
    </xf>
    <xf numFmtId="10" fontId="4" fillId="2" borderId="0" xfId="0" applyNumberFormat="1" applyFont="1" applyFill="1" applyAlignment="1">
      <alignment horizontal="center"/>
    </xf>
    <xf numFmtId="10" fontId="2" fillId="0" borderId="0" xfId="0" applyNumberFormat="1" applyFont="1"/>
    <xf numFmtId="10" fontId="2" fillId="0" borderId="1" xfId="0" applyNumberFormat="1" applyFont="1" applyBorder="1"/>
    <xf numFmtId="4" fontId="9" fillId="0" borderId="0" xfId="0" applyNumberFormat="1" applyFont="1"/>
    <xf numFmtId="4" fontId="9" fillId="0" borderId="1" xfId="0" applyNumberFormat="1" applyFont="1" applyBorder="1"/>
    <xf numFmtId="2" fontId="0" fillId="0" borderId="0" xfId="0" applyNumberFormat="1"/>
    <xf numFmtId="10" fontId="10" fillId="2" borderId="0" xfId="0" applyNumberFormat="1" applyFont="1" applyFill="1"/>
    <xf numFmtId="0" fontId="0" fillId="0" borderId="0" xfId="0" applyAlignment="1">
      <alignment horizontal="center" vertical="center"/>
    </xf>
    <xf numFmtId="164" fontId="0" fillId="0" borderId="0" xfId="0" applyNumberFormat="1" applyAlignment="1">
      <alignment horizontal="center" vertical="center"/>
    </xf>
    <xf numFmtId="9" fontId="0" fillId="0" borderId="0" xfId="1" applyFont="1" applyAlignment="1">
      <alignment horizontal="center" vertical="center"/>
    </xf>
    <xf numFmtId="3" fontId="0" fillId="0" borderId="0" xfId="0" applyNumberFormat="1" applyAlignment="1">
      <alignment horizontal="center" vertical="center"/>
    </xf>
    <xf numFmtId="0" fontId="12" fillId="0" borderId="0" xfId="0" applyFont="1"/>
    <xf numFmtId="164" fontId="12" fillId="0" borderId="0" xfId="0" applyNumberFormat="1" applyFont="1"/>
    <xf numFmtId="9" fontId="2" fillId="0" borderId="0" xfId="1" applyFont="1"/>
    <xf numFmtId="164" fontId="2" fillId="0" borderId="0" xfId="0" applyNumberFormat="1" applyFont="1"/>
    <xf numFmtId="164" fontId="0" fillId="0" borderId="0" xfId="0" applyNumberFormat="1"/>
    <xf numFmtId="9" fontId="0" fillId="0" borderId="0" xfId="1" applyFont="1"/>
    <xf numFmtId="4" fontId="0" fillId="0" borderId="0" xfId="0" applyNumberFormat="1" applyAlignment="1">
      <alignment horizontal="right"/>
    </xf>
    <xf numFmtId="0" fontId="13" fillId="0" borderId="0" xfId="0" applyFont="1"/>
    <xf numFmtId="0" fontId="2" fillId="0" borderId="0" xfId="0" applyFont="1" applyAlignment="1">
      <alignment horizontal="left" vertical="center" wrapText="1"/>
    </xf>
    <xf numFmtId="0" fontId="10" fillId="2" borderId="0" xfId="0" applyFont="1" applyFill="1" applyAlignment="1">
      <alignment horizontal="center"/>
    </xf>
    <xf numFmtId="1" fontId="0" fillId="0" borderId="0" xfId="0" applyNumberFormat="1" applyAlignment="1">
      <alignment horizontal="center" vertical="center"/>
    </xf>
    <xf numFmtId="4" fontId="14" fillId="0" borderId="0" xfId="0" applyNumberFormat="1" applyFont="1"/>
    <xf numFmtId="0" fontId="2" fillId="0" borderId="1" xfId="0" applyFont="1" applyBorder="1"/>
    <xf numFmtId="10" fontId="0" fillId="0" borderId="0" xfId="0" applyNumberFormat="1" applyAlignment="1">
      <alignment horizontal="center" vertical="center"/>
    </xf>
    <xf numFmtId="9" fontId="0" fillId="0" borderId="0" xfId="0" applyNumberFormat="1" applyFont="1" applyAlignment="1">
      <alignment horizontal="center" vertical="center"/>
    </xf>
  </cellXfs>
  <cellStyles count="2">
    <cellStyle name="Normal" xfId="0" builtinId="0"/>
    <cellStyle name="Porcentaje" xfId="1" builtinId="5"/>
  </cellStyles>
  <dxfs count="30">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3" formatCode="0%"/>
      <alignment horizontal="center" vertical="center" textRotation="0" wrapText="0" indent="0" justifyLastLine="0" shrinkToFit="0" readingOrder="0"/>
    </dxf>
    <dxf>
      <numFmt numFmtId="3" formatCode="#,##0"/>
      <alignment horizontal="center" vertical="center" textRotation="0" wrapText="0" indent="0" justifyLastLine="0" shrinkToFit="0" readingOrder="0"/>
    </dxf>
    <dxf>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3" formatCode="0%"/>
      <alignment horizontal="center" vertical="center" textRotation="0" wrapText="0" indent="0" justifyLastLine="0" shrinkToFit="0" readingOrder="0"/>
    </dxf>
    <dxf>
      <numFmt numFmtId="3" formatCode="#,##0"/>
      <alignment horizontal="center" vertical="center" textRotation="0" wrapText="0" indent="0" justifyLastLine="0" shrinkToFit="0" readingOrder="0"/>
    </dxf>
    <dxf>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164" formatCode="#,##0.00\ &quot;€&quot;"/>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43DB763-FD37-4C58-AD8A-EF1C2B97D623}" name="Tabla1" displayName="Tabla1" ref="A1:N5" totalsRowCount="1" headerRowDxfId="29" dataDxfId="28">
  <autoFilter ref="A1:N4" xr:uid="{4A648E36-9D3E-4343-BF22-DD55D58BB462}"/>
  <tableColumns count="14">
    <tableColumn id="1" xr3:uid="{98D5E7F8-EDE2-4AC6-BA1E-6E65197FF8A2}" name="Artículo" dataDxfId="27" totalsRowDxfId="13"/>
    <tableColumn id="2" xr3:uid="{6D63B1D7-E4A7-4CF9-B126-40392AA7ACD0}" name="Precio" dataDxfId="26" totalsRowDxfId="12"/>
    <tableColumn id="3" xr3:uid="{2575CD79-2627-40E7-81C7-CA86D8F5DABC}" name="Unidades" dataDxfId="25" totalsRowDxfId="11"/>
    <tableColumn id="4" xr3:uid="{9995F618-DA50-4ADB-AACF-BA616DC48511}" name="Total" dataDxfId="24" totalsRowDxfId="10">
      <calculatedColumnFormula>B2*C2</calculatedColumnFormula>
    </tableColumn>
    <tableColumn id="5" xr3:uid="{862D59F4-D0FD-44FF-8E07-E39041D158C3}" name="IVA" dataDxfId="23" totalsRowDxfId="9" dataCellStyle="Porcentaje"/>
    <tableColumn id="6" xr3:uid="{F926B610-BA1A-4293-9A1C-3E3701BDBBE8}" name="Importe IVA" dataDxfId="22" totalsRowDxfId="8">
      <calculatedColumnFormula>D2*E2</calculatedColumnFormula>
    </tableColumn>
    <tableColumn id="7" xr3:uid="{7A3E1219-934A-45DB-95C1-1A14FE8376E5}" name="Total + IVA" dataDxfId="21" totalsRowDxfId="7">
      <calculatedColumnFormula>D2+F2</calculatedColumnFormula>
    </tableColumn>
    <tableColumn id="8" xr3:uid="{B2CBDB63-8889-48E9-976A-37C820FF236D}" name="Precio por unidad" dataDxfId="20" totalsRowDxfId="6">
      <calculatedColumnFormula>G2/C2</calculatedColumnFormula>
    </tableColumn>
    <tableColumn id="9" xr3:uid="{D0384F4F-F79A-4F90-BE90-F761D90837E6}" name="Descuento club/unidad" dataDxfId="19" totalsRowDxfId="5"/>
    <tableColumn id="14" xr3:uid="{BCA37DA9-94CF-4666-8ABE-3B111A61445E}" name="%" dataDxfId="14" totalsRowDxfId="4">
      <calculatedColumnFormula>+Tabla1[[#This Row],[Descuento club/unidad]]/Tabla1[[#This Row],[Precio por unidad]]</calculatedColumnFormula>
    </tableColumn>
    <tableColumn id="10" xr3:uid="{46F2038D-8E9A-415B-A43B-E16B556EB3A8}" name="Total descuento club" dataDxfId="18" totalsRowDxfId="3">
      <calculatedColumnFormula>I2*C2</calculatedColumnFormula>
    </tableColumn>
    <tableColumn id="11" xr3:uid="{F94A3835-4D7B-44F5-9789-6AE4AAACDB89}" name="Precio final socia/o" dataDxfId="17" totalsRowDxfId="2"/>
    <tableColumn id="12" xr3:uid="{32329BB4-505E-4F6C-93FE-1CDE3C3008C4}" name="Ingreso" totalsRowFunction="custom" dataDxfId="16" totalsRowDxfId="1">
      <calculatedColumnFormula>Tabla1[[#This Row],[Precio final socia/o]]*Tabla1[[#This Row],[Unidades]]</calculatedColumnFormula>
      <totalsRowFormula>SUM(M2:M4)</totalsRowFormula>
    </tableColumn>
    <tableColumn id="13" xr3:uid="{CE25438B-6EA5-434D-912C-18804DA9E683}" name="Coste" totalsRowFunction="custom" dataDxfId="15" totalsRowDxfId="0">
      <calculatedColumnFormula>+Tabla1[[#This Row],[Precio por unidad]]*Tabla1[[#This Row],[Unidades]]</calculatedColumnFormula>
      <totalsRowFormula>SUM(N2:N4)</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F41"/>
  <sheetViews>
    <sheetView topLeftCell="A3" workbookViewId="0">
      <selection activeCell="H41" sqref="H41"/>
    </sheetView>
  </sheetViews>
  <sheetFormatPr baseColWidth="10" defaultRowHeight="15" x14ac:dyDescent="0.25"/>
  <cols>
    <col min="1" max="1" width="6.42578125" style="1" customWidth="1"/>
    <col min="2" max="2" width="14.5703125" style="3" customWidth="1"/>
    <col min="3" max="3" width="14.140625" customWidth="1"/>
    <col min="4" max="4" width="13.42578125" style="9" customWidth="1"/>
  </cols>
  <sheetData>
    <row r="1" spans="1:6" ht="15.75" x14ac:dyDescent="0.25">
      <c r="A1" s="13" t="s">
        <v>11</v>
      </c>
    </row>
    <row r="2" spans="1:6" s="1" customFormat="1" x14ac:dyDescent="0.25">
      <c r="B2" s="2">
        <v>2023</v>
      </c>
      <c r="C2" s="1" t="s">
        <v>10</v>
      </c>
      <c r="D2" s="9"/>
    </row>
    <row r="3" spans="1:6" s="1" customFormat="1" x14ac:dyDescent="0.25">
      <c r="B3" s="4" t="s">
        <v>0</v>
      </c>
      <c r="C3" s="4" t="s">
        <v>0</v>
      </c>
      <c r="D3" s="11" t="s">
        <v>9</v>
      </c>
      <c r="F3" s="23">
        <v>2023</v>
      </c>
    </row>
    <row r="4" spans="1:6" x14ac:dyDescent="0.25">
      <c r="A4" s="1" t="s">
        <v>1</v>
      </c>
      <c r="B4" s="3">
        <v>47</v>
      </c>
      <c r="C4" s="5">
        <f>B4*(1+D4)</f>
        <v>65.8</v>
      </c>
      <c r="D4" s="10">
        <v>0.4</v>
      </c>
      <c r="F4" s="24">
        <f>+B4*B17</f>
        <v>1880</v>
      </c>
    </row>
    <row r="5" spans="1:6" x14ac:dyDescent="0.25">
      <c r="A5" s="1" t="s">
        <v>2</v>
      </c>
      <c r="B5" s="3">
        <v>1</v>
      </c>
      <c r="C5" s="5">
        <f t="shared" ref="C5:C11" si="0">B5*(1+D5)</f>
        <v>1.4</v>
      </c>
      <c r="D5" s="10">
        <v>0.4</v>
      </c>
      <c r="F5" s="24">
        <f t="shared" ref="F5:F11" si="1">B5*B18</f>
        <v>15</v>
      </c>
    </row>
    <row r="6" spans="1:6" x14ac:dyDescent="0.25">
      <c r="A6" s="1" t="s">
        <v>3</v>
      </c>
      <c r="B6" s="3">
        <v>1</v>
      </c>
      <c r="C6" s="5">
        <f t="shared" si="0"/>
        <v>1.4</v>
      </c>
      <c r="D6" s="10">
        <v>0.4</v>
      </c>
      <c r="F6" s="24">
        <f t="shared" si="1"/>
        <v>10</v>
      </c>
    </row>
    <row r="7" spans="1:6" x14ac:dyDescent="0.25">
      <c r="A7" s="1" t="s">
        <v>4</v>
      </c>
      <c r="B7" s="3">
        <v>5</v>
      </c>
      <c r="C7" s="5">
        <f t="shared" si="0"/>
        <v>7</v>
      </c>
      <c r="D7" s="10">
        <v>0.4</v>
      </c>
      <c r="F7" s="24">
        <f t="shared" si="1"/>
        <v>135</v>
      </c>
    </row>
    <row r="8" spans="1:6" x14ac:dyDescent="0.25">
      <c r="A8" s="1" t="s">
        <v>5</v>
      </c>
      <c r="B8" s="3">
        <v>4</v>
      </c>
      <c r="C8" s="5">
        <f t="shared" si="0"/>
        <v>5.6</v>
      </c>
      <c r="D8" s="10">
        <v>0.4</v>
      </c>
      <c r="F8" s="24">
        <f t="shared" si="1"/>
        <v>208</v>
      </c>
    </row>
    <row r="9" spans="1:6" x14ac:dyDescent="0.25">
      <c r="A9" s="1" t="s">
        <v>6</v>
      </c>
      <c r="B9" s="3">
        <v>11</v>
      </c>
      <c r="C9" s="5">
        <f t="shared" si="0"/>
        <v>15.399999999999999</v>
      </c>
      <c r="D9" s="10">
        <v>0.4</v>
      </c>
      <c r="F9" s="24">
        <f t="shared" si="1"/>
        <v>660</v>
      </c>
    </row>
    <row r="10" spans="1:6" x14ac:dyDescent="0.25">
      <c r="A10" s="1" t="s">
        <v>7</v>
      </c>
      <c r="B10" s="3">
        <v>22</v>
      </c>
      <c r="C10" s="5">
        <f t="shared" si="0"/>
        <v>30.799999999999997</v>
      </c>
      <c r="D10" s="10">
        <v>0.4</v>
      </c>
      <c r="F10" s="24">
        <f t="shared" si="1"/>
        <v>616</v>
      </c>
    </row>
    <row r="11" spans="1:6" x14ac:dyDescent="0.25">
      <c r="A11" s="1" t="s">
        <v>8</v>
      </c>
      <c r="B11" s="34">
        <v>2</v>
      </c>
      <c r="C11" s="6">
        <f t="shared" si="0"/>
        <v>2.8</v>
      </c>
      <c r="D11" s="11">
        <v>0.4</v>
      </c>
      <c r="F11" s="24">
        <f t="shared" si="1"/>
        <v>152</v>
      </c>
    </row>
    <row r="12" spans="1:6" x14ac:dyDescent="0.25">
      <c r="A12"/>
      <c r="B12" s="2">
        <f>SUM(B4:B11)</f>
        <v>93</v>
      </c>
      <c r="C12" s="7">
        <f>SUM(C4:C11)</f>
        <v>130.19999999999999</v>
      </c>
      <c r="D12" s="10">
        <f>(C12-B12)/B12</f>
        <v>0.39999999999999986</v>
      </c>
      <c r="F12" s="24"/>
    </row>
    <row r="14" spans="1:6" s="27" customFormat="1" ht="15.75" x14ac:dyDescent="0.25">
      <c r="A14" s="13" t="s">
        <v>13</v>
      </c>
      <c r="B14" s="26"/>
      <c r="D14" s="28"/>
    </row>
    <row r="15" spans="1:6" s="16" customFormat="1" x14ac:dyDescent="0.25">
      <c r="B15" s="16">
        <v>2023</v>
      </c>
      <c r="C15" s="16">
        <v>2024</v>
      </c>
      <c r="D15" s="17"/>
    </row>
    <row r="16" spans="1:6" x14ac:dyDescent="0.25">
      <c r="B16" s="4" t="s">
        <v>12</v>
      </c>
      <c r="C16" s="4" t="s">
        <v>12</v>
      </c>
      <c r="D16" s="11" t="s">
        <v>9</v>
      </c>
    </row>
    <row r="17" spans="1:4" x14ac:dyDescent="0.25">
      <c r="A17" s="1" t="s">
        <v>1</v>
      </c>
      <c r="B17" s="3">
        <v>40</v>
      </c>
      <c r="C17" s="5">
        <v>43</v>
      </c>
      <c r="D17" s="10">
        <f>(C17-B17)/B17</f>
        <v>7.4999999999999997E-2</v>
      </c>
    </row>
    <row r="18" spans="1:4" x14ac:dyDescent="0.25">
      <c r="A18" s="1" t="s">
        <v>2</v>
      </c>
      <c r="B18" s="3">
        <v>15</v>
      </c>
      <c r="C18" s="5">
        <v>18</v>
      </c>
      <c r="D18" s="10">
        <f t="shared" ref="D18:D24" si="2">(C18-B18)/B18</f>
        <v>0.2</v>
      </c>
    </row>
    <row r="19" spans="1:4" x14ac:dyDescent="0.25">
      <c r="A19" s="1" t="s">
        <v>3</v>
      </c>
      <c r="B19" s="3">
        <v>10</v>
      </c>
      <c r="C19" s="5">
        <v>10</v>
      </c>
      <c r="D19" s="10">
        <f t="shared" si="2"/>
        <v>0</v>
      </c>
    </row>
    <row r="20" spans="1:4" x14ac:dyDescent="0.25">
      <c r="A20" s="1" t="s">
        <v>4</v>
      </c>
      <c r="B20" s="3">
        <v>27</v>
      </c>
      <c r="C20" s="5">
        <v>27</v>
      </c>
      <c r="D20" s="10">
        <f t="shared" si="2"/>
        <v>0</v>
      </c>
    </row>
    <row r="21" spans="1:4" x14ac:dyDescent="0.25">
      <c r="A21" s="1" t="s">
        <v>5</v>
      </c>
      <c r="B21" s="3">
        <v>52</v>
      </c>
      <c r="C21" s="5">
        <v>55</v>
      </c>
      <c r="D21" s="10">
        <f t="shared" si="2"/>
        <v>5.7692307692307696E-2</v>
      </c>
    </row>
    <row r="22" spans="1:4" x14ac:dyDescent="0.25">
      <c r="A22" s="1" t="s">
        <v>6</v>
      </c>
      <c r="B22" s="3">
        <v>60</v>
      </c>
      <c r="C22" s="5">
        <v>63</v>
      </c>
      <c r="D22" s="10">
        <f t="shared" si="2"/>
        <v>0.05</v>
      </c>
    </row>
    <row r="23" spans="1:4" x14ac:dyDescent="0.25">
      <c r="A23" s="1" t="s">
        <v>7</v>
      </c>
      <c r="B23" s="3">
        <v>28</v>
      </c>
      <c r="C23" s="5">
        <v>31</v>
      </c>
      <c r="D23" s="10">
        <f t="shared" si="2"/>
        <v>0.10714285714285714</v>
      </c>
    </row>
    <row r="24" spans="1:4" x14ac:dyDescent="0.25">
      <c r="A24" s="1" t="s">
        <v>8</v>
      </c>
      <c r="B24" s="3">
        <v>76</v>
      </c>
      <c r="C24" s="5">
        <v>79</v>
      </c>
      <c r="D24" s="10">
        <f t="shared" si="2"/>
        <v>3.9473684210526314E-2</v>
      </c>
    </row>
    <row r="25" spans="1:4" x14ac:dyDescent="0.25">
      <c r="A25"/>
      <c r="B25" s="2"/>
      <c r="C25" s="7"/>
    </row>
    <row r="27" spans="1:4" s="27" customFormat="1" ht="15.75" x14ac:dyDescent="0.25">
      <c r="A27" s="13" t="s">
        <v>16</v>
      </c>
      <c r="B27" s="26"/>
      <c r="D27" s="28"/>
    </row>
    <row r="28" spans="1:4" s="27" customFormat="1" ht="15.75" x14ac:dyDescent="0.25">
      <c r="A28" s="13"/>
      <c r="B28" s="26"/>
      <c r="D28" s="28"/>
    </row>
    <row r="29" spans="1:4" x14ac:dyDescent="0.25">
      <c r="B29" s="4" t="s">
        <v>0</v>
      </c>
      <c r="C29" s="4" t="s">
        <v>14</v>
      </c>
      <c r="D29" s="11" t="s">
        <v>15</v>
      </c>
    </row>
    <row r="30" spans="1:4" x14ac:dyDescent="0.25">
      <c r="A30" s="1" t="s">
        <v>1</v>
      </c>
      <c r="B30" s="5">
        <f t="shared" ref="B30:B37" si="3">C4</f>
        <v>65.8</v>
      </c>
      <c r="C30" s="5">
        <f t="shared" ref="C30:C36" si="4">C17</f>
        <v>43</v>
      </c>
      <c r="D30" s="18">
        <f>B30*C30</f>
        <v>2829.4</v>
      </c>
    </row>
    <row r="31" spans="1:4" x14ac:dyDescent="0.25">
      <c r="A31" s="1" t="s">
        <v>2</v>
      </c>
      <c r="B31" s="5">
        <f t="shared" si="3"/>
        <v>1.4</v>
      </c>
      <c r="C31" s="5">
        <f t="shared" si="4"/>
        <v>18</v>
      </c>
      <c r="D31" s="18">
        <f t="shared" ref="D31:D37" si="5">B31*C31</f>
        <v>25.2</v>
      </c>
    </row>
    <row r="32" spans="1:4" x14ac:dyDescent="0.25">
      <c r="A32" s="1" t="s">
        <v>3</v>
      </c>
      <c r="B32" s="5">
        <f t="shared" si="3"/>
        <v>1.4</v>
      </c>
      <c r="C32" s="5">
        <f t="shared" si="4"/>
        <v>10</v>
      </c>
      <c r="D32" s="18">
        <f t="shared" si="5"/>
        <v>14</v>
      </c>
    </row>
    <row r="33" spans="1:4" x14ac:dyDescent="0.25">
      <c r="A33" s="1" t="s">
        <v>4</v>
      </c>
      <c r="B33" s="5">
        <f t="shared" si="3"/>
        <v>7</v>
      </c>
      <c r="C33" s="5">
        <f t="shared" si="4"/>
        <v>27</v>
      </c>
      <c r="D33" s="18">
        <f t="shared" si="5"/>
        <v>189</v>
      </c>
    </row>
    <row r="34" spans="1:4" x14ac:dyDescent="0.25">
      <c r="A34" s="1" t="s">
        <v>5</v>
      </c>
      <c r="B34" s="5">
        <f t="shared" si="3"/>
        <v>5.6</v>
      </c>
      <c r="C34" s="5">
        <f t="shared" si="4"/>
        <v>55</v>
      </c>
      <c r="D34" s="18">
        <f t="shared" si="5"/>
        <v>308</v>
      </c>
    </row>
    <row r="35" spans="1:4" x14ac:dyDescent="0.25">
      <c r="A35" s="1" t="s">
        <v>6</v>
      </c>
      <c r="B35" s="5">
        <f t="shared" si="3"/>
        <v>15.399999999999999</v>
      </c>
      <c r="C35" s="5">
        <f t="shared" si="4"/>
        <v>63</v>
      </c>
      <c r="D35" s="18">
        <f t="shared" si="5"/>
        <v>970.19999999999993</v>
      </c>
    </row>
    <row r="36" spans="1:4" x14ac:dyDescent="0.25">
      <c r="A36" s="1" t="s">
        <v>7</v>
      </c>
      <c r="B36" s="5">
        <f t="shared" si="3"/>
        <v>30.799999999999997</v>
      </c>
      <c r="C36" s="5">
        <f t="shared" si="4"/>
        <v>31</v>
      </c>
      <c r="D36" s="18">
        <f t="shared" si="5"/>
        <v>954.8</v>
      </c>
    </row>
    <row r="37" spans="1:4" x14ac:dyDescent="0.25">
      <c r="A37" s="1" t="s">
        <v>8</v>
      </c>
      <c r="B37" s="6">
        <f t="shared" si="3"/>
        <v>2.8</v>
      </c>
      <c r="C37" s="6">
        <f t="shared" ref="C37" si="6">C24</f>
        <v>79</v>
      </c>
      <c r="D37" s="19">
        <f t="shared" si="5"/>
        <v>221.2</v>
      </c>
    </row>
    <row r="38" spans="1:4" x14ac:dyDescent="0.25">
      <c r="B38" s="7">
        <f>SUM(B30:B37)</f>
        <v>130.19999999999999</v>
      </c>
      <c r="C38" s="5"/>
      <c r="D38" s="18">
        <f>SUM(D30:D37)</f>
        <v>5511.8</v>
      </c>
    </row>
    <row r="39" spans="1:4" x14ac:dyDescent="0.25">
      <c r="B39" s="7"/>
      <c r="C39" s="5"/>
      <c r="D39" s="18"/>
    </row>
    <row r="41" spans="1:4" x14ac:dyDescent="0.25">
      <c r="A41" s="31" t="s">
        <v>33</v>
      </c>
      <c r="B41" s="32"/>
      <c r="C41" s="35">
        <f>(D38/D41)-1</f>
        <v>0.49940152339499466</v>
      </c>
      <c r="D41" s="33">
        <f>(B4*B17)+(B5*B18)+(B6*B19)+(B7*B20)+(B8*B21)+(B9*B22)+(B10*B23)+(B11*B24)</f>
        <v>3676</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6"/>
  <sheetViews>
    <sheetView workbookViewId="0">
      <selection activeCell="C7" sqref="C7"/>
    </sheetView>
  </sheetViews>
  <sheetFormatPr baseColWidth="10" defaultRowHeight="15" x14ac:dyDescent="0.25"/>
  <cols>
    <col min="1" max="1" width="38.7109375" customWidth="1"/>
    <col min="2" max="2" width="8.42578125" customWidth="1"/>
    <col min="3" max="3" width="9.5703125" customWidth="1"/>
    <col min="4" max="4" width="8.7109375" customWidth="1"/>
  </cols>
  <sheetData>
    <row r="1" spans="1:4" s="12" customFormat="1" x14ac:dyDescent="0.25">
      <c r="A1" s="12" t="s">
        <v>34</v>
      </c>
    </row>
    <row r="2" spans="1:4" hidden="1" x14ac:dyDescent="0.25">
      <c r="A2" s="12"/>
    </row>
    <row r="3" spans="1:4" x14ac:dyDescent="0.25">
      <c r="B3" s="1">
        <v>2023</v>
      </c>
      <c r="C3" s="1">
        <v>2024</v>
      </c>
      <c r="D3" s="2" t="s">
        <v>59</v>
      </c>
    </row>
    <row r="4" spans="1:4" x14ac:dyDescent="0.25">
      <c r="A4" t="s">
        <v>37</v>
      </c>
      <c r="B4" s="20">
        <f>'LICENCIAS FEDERATIVAS'!D41</f>
        <v>3676</v>
      </c>
      <c r="C4" s="20">
        <f>'LICENCIAS FEDERATIVAS'!D38</f>
        <v>5511.8</v>
      </c>
      <c r="D4" s="36">
        <f>(C4/B4)-1</f>
        <v>0.49940152339499466</v>
      </c>
    </row>
    <row r="5" spans="1:4" x14ac:dyDescent="0.25">
      <c r="A5" t="s">
        <v>39</v>
      </c>
      <c r="B5" s="20">
        <f>'LICENCIAS FEDERATIVAS'!B12*18</f>
        <v>1674</v>
      </c>
      <c r="C5" s="20">
        <f>'LICENCIAS FEDERATIVAS'!C12*18</f>
        <v>2343.6</v>
      </c>
      <c r="D5" s="36">
        <f t="shared" ref="D5:D7" si="0">(C5/B5)-1</f>
        <v>0.39999999999999991</v>
      </c>
    </row>
    <row r="6" spans="1:4" x14ac:dyDescent="0.25">
      <c r="A6" t="s">
        <v>82</v>
      </c>
      <c r="B6" s="20">
        <v>0</v>
      </c>
      <c r="C6" s="20">
        <f>Tabla1[[#Totals],[Ingreso]]</f>
        <v>4000</v>
      </c>
      <c r="D6" s="36" t="e">
        <f t="shared" si="0"/>
        <v>#DIV/0!</v>
      </c>
    </row>
    <row r="7" spans="1:4" x14ac:dyDescent="0.25">
      <c r="A7" t="s">
        <v>40</v>
      </c>
      <c r="B7" s="20">
        <f>+B9-B4-B5</f>
        <v>1150</v>
      </c>
      <c r="C7" s="20">
        <f>45*4*10</f>
        <v>1800</v>
      </c>
      <c r="D7" s="36">
        <f t="shared" si="0"/>
        <v>0.56521739130434789</v>
      </c>
    </row>
    <row r="8" spans="1:4" x14ac:dyDescent="0.25">
      <c r="A8" s="30" t="s">
        <v>55</v>
      </c>
      <c r="B8" s="21">
        <v>0</v>
      </c>
      <c r="C8" s="21">
        <v>500</v>
      </c>
      <c r="D8" s="37">
        <v>1</v>
      </c>
    </row>
    <row r="9" spans="1:4" x14ac:dyDescent="0.25">
      <c r="A9" s="1" t="s">
        <v>38</v>
      </c>
      <c r="B9" s="22">
        <v>6500</v>
      </c>
      <c r="C9" s="22">
        <f>+C4+C5+C7+C8+C6</f>
        <v>14155.4</v>
      </c>
      <c r="D9" s="36">
        <f>(C9/B9)-1</f>
        <v>1.1777538461538462</v>
      </c>
    </row>
    <row r="12" spans="1:4" s="1" customFormat="1" x14ac:dyDescent="0.25">
      <c r="A12" s="1" t="s">
        <v>42</v>
      </c>
      <c r="B12" s="1" t="s">
        <v>41</v>
      </c>
    </row>
    <row r="13" spans="1:4" ht="6.75" customHeight="1" x14ac:dyDescent="0.25"/>
    <row r="14" spans="1:4" s="1" customFormat="1" x14ac:dyDescent="0.25">
      <c r="A14" s="1" t="s">
        <v>44</v>
      </c>
    </row>
    <row r="15" spans="1:4" ht="6.75" customHeight="1" x14ac:dyDescent="0.25"/>
    <row r="16" spans="1:4" s="1" customFormat="1" x14ac:dyDescent="0.25">
      <c r="A16" s="1" t="s">
        <v>45</v>
      </c>
    </row>
    <row r="17" spans="1:7" ht="7.5" customHeight="1" x14ac:dyDescent="0.25"/>
    <row r="18" spans="1:7" x14ac:dyDescent="0.25">
      <c r="A18" s="54" t="s">
        <v>46</v>
      </c>
      <c r="B18" s="54"/>
      <c r="C18" s="54"/>
      <c r="D18" s="54"/>
      <c r="E18" s="54"/>
      <c r="F18" s="54"/>
      <c r="G18" s="54"/>
    </row>
    <row r="19" spans="1:7" x14ac:dyDescent="0.25">
      <c r="A19" s="54"/>
      <c r="B19" s="54"/>
      <c r="C19" s="54"/>
      <c r="D19" s="54"/>
      <c r="E19" s="54"/>
      <c r="F19" s="54"/>
      <c r="G19" s="54"/>
    </row>
    <row r="20" spans="1:7" x14ac:dyDescent="0.25">
      <c r="A20" s="54"/>
      <c r="B20" s="54"/>
      <c r="C20" s="54"/>
      <c r="D20" s="54"/>
      <c r="E20" s="54"/>
      <c r="F20" s="54"/>
      <c r="G20" s="54"/>
    </row>
    <row r="21" spans="1:7" ht="6.75" customHeight="1" x14ac:dyDescent="0.25">
      <c r="A21" s="54"/>
      <c r="B21" s="54"/>
      <c r="C21" s="54"/>
      <c r="D21" s="54"/>
      <c r="E21" s="54"/>
      <c r="F21" s="54"/>
      <c r="G21" s="54"/>
    </row>
    <row r="22" spans="1:7" x14ac:dyDescent="0.25">
      <c r="A22" s="54"/>
      <c r="B22" s="54"/>
      <c r="C22" s="54"/>
      <c r="D22" s="54"/>
      <c r="E22" s="54"/>
      <c r="F22" s="54"/>
      <c r="G22" s="54"/>
    </row>
    <row r="23" spans="1:7" ht="6.75" customHeight="1" x14ac:dyDescent="0.25"/>
    <row r="24" spans="1:7" ht="10.5" customHeight="1" x14ac:dyDescent="0.25">
      <c r="A24" s="54" t="s">
        <v>47</v>
      </c>
      <c r="B24" s="54"/>
      <c r="C24" s="54"/>
      <c r="D24" s="54"/>
      <c r="E24" s="54"/>
      <c r="F24" s="54"/>
      <c r="G24" s="54"/>
    </row>
    <row r="25" spans="1:7" x14ac:dyDescent="0.25">
      <c r="A25" s="54"/>
      <c r="B25" s="54"/>
      <c r="C25" s="54"/>
      <c r="D25" s="54"/>
      <c r="E25" s="54"/>
      <c r="F25" s="54"/>
      <c r="G25" s="54"/>
    </row>
    <row r="26" spans="1:7" ht="8.25" customHeight="1" x14ac:dyDescent="0.25">
      <c r="A26" s="54"/>
      <c r="B26" s="54"/>
      <c r="C26" s="54"/>
      <c r="D26" s="54"/>
      <c r="E26" s="54"/>
      <c r="F26" s="54"/>
      <c r="G26" s="54"/>
    </row>
  </sheetData>
  <mergeCells count="2">
    <mergeCell ref="A18:G22"/>
    <mergeCell ref="A24:G2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9"/>
  <sheetViews>
    <sheetView tabSelected="1" workbookViewId="0">
      <selection activeCell="M24" sqref="M24"/>
    </sheetView>
  </sheetViews>
  <sheetFormatPr baseColWidth="10" defaultRowHeight="15" x14ac:dyDescent="0.25"/>
  <cols>
    <col min="1" max="1" width="19.42578125" style="1" customWidth="1"/>
    <col min="2" max="2" width="12.140625" customWidth="1"/>
    <col min="3" max="3" width="12.7109375" customWidth="1"/>
    <col min="4" max="4" width="8.85546875" style="3" customWidth="1"/>
    <col min="5" max="5" width="14" customWidth="1"/>
  </cols>
  <sheetData>
    <row r="1" spans="1:5" s="15" customFormat="1" x14ac:dyDescent="0.25">
      <c r="A1" s="12" t="s">
        <v>21</v>
      </c>
      <c r="D1" s="14"/>
    </row>
    <row r="2" spans="1:5" s="2" customFormat="1" x14ac:dyDescent="0.25">
      <c r="B2" s="4">
        <v>2023</v>
      </c>
      <c r="C2" s="4" t="s">
        <v>10</v>
      </c>
      <c r="D2" s="4" t="s">
        <v>9</v>
      </c>
      <c r="E2" s="4" t="s">
        <v>84</v>
      </c>
    </row>
    <row r="3" spans="1:5" x14ac:dyDescent="0.25">
      <c r="A3" s="1" t="s">
        <v>17</v>
      </c>
      <c r="B3" s="38">
        <v>322.97000000000003</v>
      </c>
      <c r="C3" s="38">
        <v>375</v>
      </c>
      <c r="D3" s="8">
        <f>(C3-B3)/B3</f>
        <v>0.16109855404526727</v>
      </c>
      <c r="E3" s="20">
        <f>C3/5</f>
        <v>75</v>
      </c>
    </row>
    <row r="4" spans="1:5" x14ac:dyDescent="0.25">
      <c r="A4" s="1" t="s">
        <v>18</v>
      </c>
      <c r="B4" s="38">
        <v>0</v>
      </c>
      <c r="C4" s="38">
        <v>194.79</v>
      </c>
      <c r="D4" s="8" t="e">
        <f t="shared" ref="D4:D8" si="0">(C4-B4)/B4</f>
        <v>#DIV/0!</v>
      </c>
      <c r="E4" s="20">
        <f t="shared" ref="E4:E8" si="1">C4/5</f>
        <v>38.957999999999998</v>
      </c>
    </row>
    <row r="5" spans="1:5" x14ac:dyDescent="0.25">
      <c r="A5" s="1" t="s">
        <v>49</v>
      </c>
      <c r="B5" s="38">
        <v>0</v>
      </c>
      <c r="C5" s="38">
        <v>72.599999999999994</v>
      </c>
      <c r="D5" s="8" t="e">
        <f t="shared" si="0"/>
        <v>#DIV/0!</v>
      </c>
      <c r="E5" s="20">
        <f t="shared" si="1"/>
        <v>14.52</v>
      </c>
    </row>
    <row r="6" spans="1:5" x14ac:dyDescent="0.25">
      <c r="A6" s="1" t="s">
        <v>19</v>
      </c>
      <c r="B6" s="38">
        <v>0</v>
      </c>
      <c r="C6" s="38">
        <f>2*(49*1.21)</f>
        <v>118.58</v>
      </c>
      <c r="D6" s="8" t="e">
        <f t="shared" si="0"/>
        <v>#DIV/0!</v>
      </c>
      <c r="E6" s="20">
        <f t="shared" si="1"/>
        <v>23.716000000000001</v>
      </c>
    </row>
    <row r="7" spans="1:5" x14ac:dyDescent="0.25">
      <c r="A7" s="1" t="s">
        <v>50</v>
      </c>
      <c r="B7" s="38">
        <v>0</v>
      </c>
      <c r="C7" s="38">
        <f>2*(25*1.21)</f>
        <v>60.5</v>
      </c>
      <c r="D7" s="8" t="e">
        <f t="shared" si="0"/>
        <v>#DIV/0!</v>
      </c>
      <c r="E7" s="20">
        <f t="shared" si="1"/>
        <v>12.1</v>
      </c>
    </row>
    <row r="8" spans="1:5" x14ac:dyDescent="0.25">
      <c r="A8" s="1" t="s">
        <v>20</v>
      </c>
      <c r="B8" s="39">
        <v>0</v>
      </c>
      <c r="C8" s="39">
        <v>0</v>
      </c>
      <c r="D8" s="29" t="e">
        <f t="shared" si="0"/>
        <v>#DIV/0!</v>
      </c>
      <c r="E8" s="21">
        <f t="shared" si="1"/>
        <v>0</v>
      </c>
    </row>
    <row r="9" spans="1:5" x14ac:dyDescent="0.25">
      <c r="B9" s="22">
        <f>SUM(B3:B8)</f>
        <v>322.97000000000003</v>
      </c>
      <c r="C9" s="22">
        <f>SUM(C3:C8)</f>
        <v>821.47</v>
      </c>
      <c r="D9" s="25">
        <f>(C9-B9)/B9</f>
        <v>1.5434870111775085</v>
      </c>
      <c r="E9" s="22">
        <f>SUM(E3:E8)</f>
        <v>164.29400000000001</v>
      </c>
    </row>
    <row r="10" spans="1:5" x14ac:dyDescent="0.25">
      <c r="B10" s="20"/>
      <c r="C10" s="20"/>
      <c r="D10" s="8"/>
    </row>
    <row r="11" spans="1:5" x14ac:dyDescent="0.25">
      <c r="B11" s="20"/>
      <c r="C11" s="20"/>
      <c r="D11" s="8"/>
    </row>
    <row r="12" spans="1:5" s="15" customFormat="1" x14ac:dyDescent="0.25">
      <c r="A12" s="12" t="s">
        <v>22</v>
      </c>
      <c r="D12" s="14"/>
    </row>
    <row r="13" spans="1:5" x14ac:dyDescent="0.25">
      <c r="B13" s="4">
        <v>2023</v>
      </c>
      <c r="C13" s="4" t="s">
        <v>10</v>
      </c>
      <c r="D13" s="4" t="s">
        <v>9</v>
      </c>
    </row>
    <row r="14" spans="1:5" x14ac:dyDescent="0.25">
      <c r="A14" s="1" t="s">
        <v>85</v>
      </c>
      <c r="B14" s="52">
        <f>+'LICENCIAS FEDERATIVAS'!D41</f>
        <v>3676</v>
      </c>
      <c r="C14" s="52">
        <f>'LICENCIAS FEDERATIVAS'!D38</f>
        <v>5511.8</v>
      </c>
      <c r="D14" s="8">
        <f>(C14-B14)/B14</f>
        <v>0.49940152339499461</v>
      </c>
    </row>
    <row r="15" spans="1:5" x14ac:dyDescent="0.25">
      <c r="A15" s="1" t="s">
        <v>23</v>
      </c>
      <c r="B15" s="38">
        <f>51.61+16.58+12.97+7.3</f>
        <v>88.46</v>
      </c>
      <c r="C15" s="38">
        <v>100</v>
      </c>
      <c r="D15" s="8">
        <f>(C15-B15)/B15</f>
        <v>0.13045444268595985</v>
      </c>
    </row>
    <row r="16" spans="1:5" x14ac:dyDescent="0.25">
      <c r="A16" s="1" t="s">
        <v>24</v>
      </c>
      <c r="B16" s="38">
        <v>153.57</v>
      </c>
      <c r="C16" s="38">
        <v>153.57</v>
      </c>
      <c r="D16" s="8">
        <f t="shared" ref="D16:D28" si="2">(C16-B16)/B16</f>
        <v>0</v>
      </c>
    </row>
    <row r="17" spans="1:4" x14ac:dyDescent="0.25">
      <c r="A17" s="1" t="s">
        <v>35</v>
      </c>
      <c r="B17" s="38">
        <v>162.59</v>
      </c>
      <c r="C17" s="38">
        <v>271.45999999999998</v>
      </c>
      <c r="D17" s="8">
        <f t="shared" si="2"/>
        <v>0.66959837628390417</v>
      </c>
    </row>
    <row r="18" spans="1:4" x14ac:dyDescent="0.25">
      <c r="A18" s="1" t="s">
        <v>25</v>
      </c>
      <c r="B18" s="38">
        <v>58.08</v>
      </c>
      <c r="C18" s="38">
        <v>65</v>
      </c>
      <c r="D18" s="8">
        <f t="shared" si="2"/>
        <v>0.11914600550964191</v>
      </c>
    </row>
    <row r="19" spans="1:4" x14ac:dyDescent="0.25">
      <c r="A19" s="1" t="s">
        <v>26</v>
      </c>
      <c r="B19" s="38">
        <v>29.99</v>
      </c>
      <c r="C19" s="38">
        <v>55.64</v>
      </c>
      <c r="D19" s="8">
        <f t="shared" si="2"/>
        <v>0.85528509503167738</v>
      </c>
    </row>
    <row r="20" spans="1:4" x14ac:dyDescent="0.25">
      <c r="A20" s="1" t="s">
        <v>48</v>
      </c>
      <c r="B20" s="38">
        <v>30</v>
      </c>
      <c r="C20" s="38">
        <v>50</v>
      </c>
      <c r="D20" s="8">
        <f t="shared" si="2"/>
        <v>0.66666666666666663</v>
      </c>
    </row>
    <row r="21" spans="1:4" x14ac:dyDescent="0.25">
      <c r="A21" s="1" t="s">
        <v>43</v>
      </c>
      <c r="B21" s="38">
        <v>0</v>
      </c>
      <c r="C21" s="38">
        <f>'LICENCIAS FEDERATIVAS'!C12*15.13</f>
        <v>1969.9259999999999</v>
      </c>
      <c r="D21" s="8" t="e">
        <f>(C21-B21)/B21</f>
        <v>#DIV/0!</v>
      </c>
    </row>
    <row r="22" spans="1:4" x14ac:dyDescent="0.25">
      <c r="A22" s="1" t="s">
        <v>61</v>
      </c>
      <c r="B22" s="38">
        <v>0</v>
      </c>
      <c r="C22" s="38">
        <f>100*(1.2*1.21)</f>
        <v>145.19999999999999</v>
      </c>
      <c r="D22" s="8" t="e">
        <f>(C22-B22)/B22</f>
        <v>#DIV/0!</v>
      </c>
    </row>
    <row r="23" spans="1:4" x14ac:dyDescent="0.25">
      <c r="A23" s="1" t="s">
        <v>51</v>
      </c>
      <c r="B23" s="38">
        <v>0</v>
      </c>
      <c r="C23" s="38">
        <f>100*(1.6*1.21)</f>
        <v>193.6</v>
      </c>
      <c r="D23" s="8" t="e">
        <f t="shared" si="2"/>
        <v>#DIV/0!</v>
      </c>
    </row>
    <row r="24" spans="1:4" x14ac:dyDescent="0.25">
      <c r="A24" s="1" t="s">
        <v>53</v>
      </c>
      <c r="B24" s="38">
        <v>0</v>
      </c>
      <c r="C24" s="38">
        <f>100*(16.4*1.21)</f>
        <v>1984.3999999999999</v>
      </c>
      <c r="D24" s="8" t="e">
        <f t="shared" si="2"/>
        <v>#DIV/0!</v>
      </c>
    </row>
    <row r="25" spans="1:4" x14ac:dyDescent="0.25">
      <c r="A25" s="1" t="s">
        <v>54</v>
      </c>
      <c r="B25" s="38">
        <v>0</v>
      </c>
      <c r="C25" s="38">
        <f>100*(16.4*1.21)</f>
        <v>1984.3999999999999</v>
      </c>
      <c r="D25" s="8" t="e">
        <f t="shared" si="2"/>
        <v>#DIV/0!</v>
      </c>
    </row>
    <row r="26" spans="1:4" x14ac:dyDescent="0.25">
      <c r="A26" s="1" t="s">
        <v>60</v>
      </c>
      <c r="B26" s="38">
        <v>0</v>
      </c>
      <c r="C26" s="38">
        <f>100*(1.3*1.21)</f>
        <v>157.29999999999998</v>
      </c>
      <c r="D26" s="8" t="e">
        <f t="shared" si="2"/>
        <v>#DIV/0!</v>
      </c>
    </row>
    <row r="27" spans="1:4" x14ac:dyDescent="0.25">
      <c r="A27" s="1" t="s">
        <v>52</v>
      </c>
      <c r="B27" s="38">
        <v>0</v>
      </c>
      <c r="C27" s="38">
        <f>100*(1*1.21)</f>
        <v>121</v>
      </c>
      <c r="D27" s="8" t="e">
        <f t="shared" si="2"/>
        <v>#DIV/0!</v>
      </c>
    </row>
    <row r="28" spans="1:4" x14ac:dyDescent="0.25">
      <c r="A28" s="1" t="s">
        <v>62</v>
      </c>
      <c r="B28" s="38">
        <v>0</v>
      </c>
      <c r="C28" s="38">
        <f>100*(2.2*1.21)</f>
        <v>266.2</v>
      </c>
      <c r="D28" s="8" t="e">
        <f t="shared" si="2"/>
        <v>#DIV/0!</v>
      </c>
    </row>
    <row r="29" spans="1:4" x14ac:dyDescent="0.25">
      <c r="A29" s="1" t="s">
        <v>27</v>
      </c>
      <c r="B29" s="38">
        <v>368.02</v>
      </c>
      <c r="C29" s="38">
        <v>500</v>
      </c>
      <c r="D29" s="8">
        <f t="shared" ref="D29:D31" si="3">(C29-B29)/B29</f>
        <v>0.35862181403184618</v>
      </c>
    </row>
    <row r="30" spans="1:4" x14ac:dyDescent="0.25">
      <c r="A30" s="1" t="s">
        <v>20</v>
      </c>
      <c r="B30" s="38">
        <v>4</v>
      </c>
      <c r="C30" s="38">
        <v>10</v>
      </c>
      <c r="D30" s="8">
        <f t="shared" si="3"/>
        <v>1.5</v>
      </c>
    </row>
    <row r="31" spans="1:4" x14ac:dyDescent="0.25">
      <c r="B31" s="39">
        <v>0</v>
      </c>
      <c r="C31" s="39">
        <v>0</v>
      </c>
      <c r="D31" s="29" t="e">
        <f t="shared" si="3"/>
        <v>#DIV/0!</v>
      </c>
    </row>
    <row r="32" spans="1:4" x14ac:dyDescent="0.25">
      <c r="B32" s="22">
        <f>SUM(B14:B31)</f>
        <v>4570.7100000000009</v>
      </c>
      <c r="C32" s="22">
        <f>SUM(C14:C31)</f>
        <v>13539.496000000001</v>
      </c>
      <c r="D32" s="25">
        <f>(C32-B32)/B32</f>
        <v>1.9622303755871622</v>
      </c>
    </row>
    <row r="34" spans="1:5" x14ac:dyDescent="0.25">
      <c r="C34" s="40"/>
    </row>
    <row r="35" spans="1:5" x14ac:dyDescent="0.25">
      <c r="A35" s="12" t="s">
        <v>56</v>
      </c>
    </row>
    <row r="37" spans="1:5" x14ac:dyDescent="0.25">
      <c r="A37" s="1" t="s">
        <v>57</v>
      </c>
      <c r="B37" s="20">
        <f>+'RUTAS-SOCIOS'!C9</f>
        <v>14155.4</v>
      </c>
    </row>
    <row r="38" spans="1:5" x14ac:dyDescent="0.25">
      <c r="A38" s="1" t="s">
        <v>58</v>
      </c>
      <c r="B38" s="21">
        <f>-C32-(C9*0.2)</f>
        <v>-13703.79</v>
      </c>
    </row>
    <row r="39" spans="1:5" x14ac:dyDescent="0.25">
      <c r="B39" s="22">
        <f>+B37+B38</f>
        <v>451.60999999999876</v>
      </c>
      <c r="C39" s="41">
        <f>+B39/B37</f>
        <v>3.1903725786625516E-2</v>
      </c>
      <c r="D39" s="55" t="s">
        <v>63</v>
      </c>
      <c r="E39" s="55"/>
    </row>
  </sheetData>
  <mergeCells count="1">
    <mergeCell ref="D39:E3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F7F49-628C-46B8-ACF2-06646BA6A790}">
  <dimension ref="A2:N54"/>
  <sheetViews>
    <sheetView workbookViewId="0">
      <selection activeCell="E28" sqref="E28"/>
    </sheetView>
  </sheetViews>
  <sheetFormatPr baseColWidth="10" defaultRowHeight="15" x14ac:dyDescent="0.25"/>
  <cols>
    <col min="1" max="1" width="37.5703125" customWidth="1"/>
    <col min="2" max="2" width="9.85546875" customWidth="1"/>
    <col min="3" max="3" width="3" customWidth="1"/>
    <col min="4" max="4" width="37.5703125" customWidth="1"/>
    <col min="5" max="5" width="9.85546875" customWidth="1"/>
  </cols>
  <sheetData>
    <row r="2" spans="1:5" s="53" customFormat="1" ht="18.75" x14ac:dyDescent="0.3">
      <c r="A2" s="53" t="s">
        <v>87</v>
      </c>
    </row>
    <row r="4" spans="1:5" x14ac:dyDescent="0.25">
      <c r="A4" s="1" t="s">
        <v>57</v>
      </c>
      <c r="B4" s="1"/>
      <c r="C4" s="1"/>
      <c r="D4" s="1" t="s">
        <v>58</v>
      </c>
    </row>
    <row r="5" spans="1:5" x14ac:dyDescent="0.25">
      <c r="A5" t="str">
        <f>+'RUTAS-SOCIOS'!A4</f>
        <v>Licencias Federativas</v>
      </c>
      <c r="B5" s="20">
        <f>+'RUTAS-SOCIOS'!C4</f>
        <v>5511.8</v>
      </c>
      <c r="C5" s="20"/>
      <c r="D5" t="s">
        <v>85</v>
      </c>
      <c r="E5" s="20">
        <f>+'INVERSIONES-GTO.CORRIENTE'!C14</f>
        <v>5511.8</v>
      </c>
    </row>
    <row r="6" spans="1:5" x14ac:dyDescent="0.25">
      <c r="A6" t="str">
        <f>+'RUTAS-SOCIOS'!A5</f>
        <v>Cuotas socios</v>
      </c>
      <c r="B6" s="20">
        <f>+'RUTAS-SOCIOS'!C5</f>
        <v>2343.6</v>
      </c>
      <c r="C6" s="20"/>
      <c r="D6" t="s">
        <v>23</v>
      </c>
      <c r="E6" s="20">
        <f>+'INVERSIONES-GTO.CORRIENTE'!C15</f>
        <v>100</v>
      </c>
    </row>
    <row r="7" spans="1:5" x14ac:dyDescent="0.25">
      <c r="A7" t="str">
        <f>+'RUTAS-SOCIOS'!A6</f>
        <v>Venta equipaciones/ complementos Club</v>
      </c>
      <c r="B7" s="57">
        <f>+'RUTAS-SOCIOS'!C6</f>
        <v>4000</v>
      </c>
      <c r="C7" s="20"/>
      <c r="D7" t="s">
        <v>24</v>
      </c>
      <c r="E7" s="20">
        <f>+'INVERSIONES-GTO.CORRIENTE'!C16</f>
        <v>153.57</v>
      </c>
    </row>
    <row r="8" spans="1:5" x14ac:dyDescent="0.25">
      <c r="A8" t="str">
        <f>+'RUTAS-SOCIOS'!A7</f>
        <v>Inscripción rutas</v>
      </c>
      <c r="B8" s="20">
        <f>+'RUTAS-SOCIOS'!C7</f>
        <v>1800</v>
      </c>
      <c r="C8" s="20"/>
      <c r="D8" t="s">
        <v>35</v>
      </c>
      <c r="E8" s="20">
        <f>+'INVERSIONES-GTO.CORRIENTE'!C17</f>
        <v>271.45999999999998</v>
      </c>
    </row>
    <row r="9" spans="1:5" x14ac:dyDescent="0.25">
      <c r="A9" t="str">
        <f>+'RUTAS-SOCIOS'!A8</f>
        <v>Subvención Ayto.Carboneras</v>
      </c>
      <c r="B9" s="20">
        <f>+'RUTAS-SOCIOS'!C8</f>
        <v>500</v>
      </c>
      <c r="C9" s="20"/>
      <c r="D9" t="s">
        <v>25</v>
      </c>
      <c r="E9" s="20">
        <f>+'INVERSIONES-GTO.CORRIENTE'!C18</f>
        <v>65</v>
      </c>
    </row>
    <row r="10" spans="1:5" x14ac:dyDescent="0.25">
      <c r="B10" s="20"/>
      <c r="C10" s="20"/>
      <c r="D10" t="s">
        <v>26</v>
      </c>
      <c r="E10" s="20">
        <f>+'INVERSIONES-GTO.CORRIENTE'!C19</f>
        <v>55.64</v>
      </c>
    </row>
    <row r="11" spans="1:5" x14ac:dyDescent="0.25">
      <c r="B11" s="20"/>
      <c r="C11" s="20"/>
      <c r="D11" t="s">
        <v>48</v>
      </c>
      <c r="E11" s="20">
        <f>+'INVERSIONES-GTO.CORRIENTE'!C20</f>
        <v>50</v>
      </c>
    </row>
    <row r="12" spans="1:5" x14ac:dyDescent="0.25">
      <c r="B12" s="20"/>
      <c r="C12" s="20"/>
      <c r="D12" t="s">
        <v>43</v>
      </c>
      <c r="E12" s="57">
        <f>+'INVERSIONES-GTO.CORRIENTE'!C21</f>
        <v>1969.9259999999999</v>
      </c>
    </row>
    <row r="13" spans="1:5" x14ac:dyDescent="0.25">
      <c r="B13" s="20"/>
      <c r="C13" s="20"/>
      <c r="D13" t="s">
        <v>61</v>
      </c>
      <c r="E13" s="57">
        <f>+'INVERSIONES-GTO.CORRIENTE'!C22</f>
        <v>145.19999999999999</v>
      </c>
    </row>
    <row r="14" spans="1:5" x14ac:dyDescent="0.25">
      <c r="B14" s="20"/>
      <c r="C14" s="20"/>
      <c r="D14" t="s">
        <v>51</v>
      </c>
      <c r="E14" s="57">
        <f>+'INVERSIONES-GTO.CORRIENTE'!C23</f>
        <v>193.6</v>
      </c>
    </row>
    <row r="15" spans="1:5" x14ac:dyDescent="0.25">
      <c r="B15" s="20"/>
      <c r="C15" s="20"/>
      <c r="D15" t="s">
        <v>53</v>
      </c>
      <c r="E15" s="57">
        <f>+'INVERSIONES-GTO.CORRIENTE'!C24</f>
        <v>1984.3999999999999</v>
      </c>
    </row>
    <row r="16" spans="1:5" x14ac:dyDescent="0.25">
      <c r="B16" s="20"/>
      <c r="C16" s="20"/>
      <c r="D16" t="s">
        <v>54</v>
      </c>
      <c r="E16" s="57">
        <f>+'INVERSIONES-GTO.CORRIENTE'!C25</f>
        <v>1984.3999999999999</v>
      </c>
    </row>
    <row r="17" spans="1:14" x14ac:dyDescent="0.25">
      <c r="B17" s="20"/>
      <c r="C17" s="20"/>
      <c r="D17" t="s">
        <v>60</v>
      </c>
      <c r="E17" s="57">
        <f>+'INVERSIONES-GTO.CORRIENTE'!C26</f>
        <v>157.29999999999998</v>
      </c>
    </row>
    <row r="18" spans="1:14" x14ac:dyDescent="0.25">
      <c r="B18" s="20"/>
      <c r="C18" s="20"/>
      <c r="D18" t="s">
        <v>52</v>
      </c>
      <c r="E18" s="20">
        <f>+'INVERSIONES-GTO.CORRIENTE'!C27</f>
        <v>121</v>
      </c>
    </row>
    <row r="19" spans="1:14" s="1" customFormat="1" x14ac:dyDescent="0.25">
      <c r="D19" t="s">
        <v>62</v>
      </c>
      <c r="E19" s="57">
        <f>+'INVERSIONES-GTO.CORRIENTE'!C28</f>
        <v>266.2</v>
      </c>
    </row>
    <row r="20" spans="1:14" x14ac:dyDescent="0.25">
      <c r="D20" t="s">
        <v>27</v>
      </c>
      <c r="E20" s="20">
        <f>+'INVERSIONES-GTO.CORRIENTE'!C29</f>
        <v>500</v>
      </c>
    </row>
    <row r="21" spans="1:14" x14ac:dyDescent="0.25">
      <c r="D21" t="s">
        <v>20</v>
      </c>
      <c r="E21" s="20">
        <f>+'INVERSIONES-GTO.CORRIENTE'!C30</f>
        <v>10</v>
      </c>
    </row>
    <row r="22" spans="1:14" x14ac:dyDescent="0.25">
      <c r="D22" t="s">
        <v>88</v>
      </c>
      <c r="E22" s="20">
        <f>+'INVERSIONES-GTO.CORRIENTE'!E9</f>
        <v>164.29400000000001</v>
      </c>
    </row>
    <row r="23" spans="1:14" x14ac:dyDescent="0.25">
      <c r="A23" s="30"/>
      <c r="B23" s="30"/>
      <c r="C23" s="30"/>
      <c r="D23" s="58" t="s">
        <v>90</v>
      </c>
      <c r="E23" s="58">
        <v>451.61</v>
      </c>
      <c r="G23" s="20">
        <f>B24-E24</f>
        <v>0</v>
      </c>
      <c r="J23" s="12"/>
      <c r="K23" s="15"/>
      <c r="L23" s="15"/>
      <c r="M23" s="14"/>
      <c r="N23" s="15"/>
    </row>
    <row r="24" spans="1:14" x14ac:dyDescent="0.25">
      <c r="A24" s="1" t="s">
        <v>86</v>
      </c>
      <c r="B24" s="22">
        <f>SUM(B5:B23)</f>
        <v>14155.4</v>
      </c>
      <c r="C24" s="22"/>
      <c r="D24" s="22"/>
      <c r="E24" s="22">
        <f>SUM(E5:E23)</f>
        <v>14155.400000000001</v>
      </c>
      <c r="J24" s="2"/>
      <c r="K24" s="2"/>
      <c r="L24" s="2"/>
      <c r="M24" s="2"/>
      <c r="N24" s="2"/>
    </row>
    <row r="25" spans="1:14" x14ac:dyDescent="0.25">
      <c r="J25" s="1"/>
      <c r="K25" s="38"/>
      <c r="L25" s="38"/>
      <c r="M25" s="8"/>
      <c r="N25" s="20"/>
    </row>
    <row r="26" spans="1:14" x14ac:dyDescent="0.25">
      <c r="J26" s="1"/>
      <c r="K26" s="38"/>
      <c r="L26" s="38"/>
      <c r="M26" s="8"/>
      <c r="N26" s="20"/>
    </row>
    <row r="27" spans="1:14" x14ac:dyDescent="0.25">
      <c r="J27" s="1"/>
      <c r="K27" s="38"/>
      <c r="L27" s="38"/>
      <c r="M27" s="8"/>
      <c r="N27" s="20"/>
    </row>
    <row r="28" spans="1:14" x14ac:dyDescent="0.25">
      <c r="J28" s="1"/>
      <c r="K28" s="38"/>
      <c r="L28" s="38"/>
      <c r="M28" s="8"/>
      <c r="N28" s="20"/>
    </row>
    <row r="29" spans="1:14" x14ac:dyDescent="0.25">
      <c r="J29" s="1"/>
      <c r="K29" s="38"/>
      <c r="L29" s="38"/>
      <c r="M29" s="8"/>
      <c r="N29" s="20"/>
    </row>
    <row r="30" spans="1:14" x14ac:dyDescent="0.25">
      <c r="J30" s="1"/>
      <c r="K30" s="38"/>
      <c r="L30" s="38"/>
      <c r="M30" s="8"/>
      <c r="N30" s="20"/>
    </row>
    <row r="31" spans="1:14" x14ac:dyDescent="0.25">
      <c r="J31" s="1"/>
      <c r="K31" s="22"/>
      <c r="L31" s="22"/>
      <c r="M31" s="25"/>
      <c r="N31" s="22"/>
    </row>
    <row r="32" spans="1:14" x14ac:dyDescent="0.25">
      <c r="J32" s="1"/>
      <c r="K32" s="20"/>
      <c r="L32" s="20"/>
      <c r="M32" s="8"/>
    </row>
    <row r="33" spans="10:14" x14ac:dyDescent="0.25">
      <c r="J33" s="1"/>
      <c r="K33" s="20"/>
      <c r="L33" s="20"/>
      <c r="M33" s="8"/>
    </row>
    <row r="34" spans="10:14" x14ac:dyDescent="0.25">
      <c r="J34" s="12"/>
      <c r="K34" s="15"/>
      <c r="L34" s="15"/>
      <c r="M34" s="14"/>
      <c r="N34" s="15"/>
    </row>
    <row r="35" spans="10:14" x14ac:dyDescent="0.25">
      <c r="J35" s="1"/>
      <c r="K35" s="2"/>
      <c r="L35" s="2"/>
      <c r="M35" s="2"/>
    </row>
    <row r="36" spans="10:14" x14ac:dyDescent="0.25">
      <c r="J36" s="1"/>
      <c r="K36" s="52"/>
      <c r="L36" s="52"/>
      <c r="M36" s="8"/>
    </row>
    <row r="37" spans="10:14" x14ac:dyDescent="0.25">
      <c r="J37" s="1"/>
      <c r="K37" s="38"/>
      <c r="L37" s="38"/>
      <c r="M37" s="8"/>
    </row>
    <row r="38" spans="10:14" x14ac:dyDescent="0.25">
      <c r="J38" s="1"/>
      <c r="K38" s="38"/>
      <c r="L38" s="38"/>
      <c r="M38" s="8"/>
    </row>
    <row r="39" spans="10:14" x14ac:dyDescent="0.25">
      <c r="J39" s="1"/>
      <c r="K39" s="38"/>
      <c r="L39" s="38"/>
      <c r="M39" s="8"/>
    </row>
    <row r="40" spans="10:14" x14ac:dyDescent="0.25">
      <c r="J40" s="1"/>
      <c r="K40" s="38"/>
      <c r="L40" s="38"/>
      <c r="M40" s="8"/>
    </row>
    <row r="41" spans="10:14" x14ac:dyDescent="0.25">
      <c r="J41" s="1"/>
      <c r="K41" s="38"/>
      <c r="L41" s="38"/>
      <c r="M41" s="8"/>
    </row>
    <row r="42" spans="10:14" x14ac:dyDescent="0.25">
      <c r="J42" s="1"/>
      <c r="K42" s="38"/>
      <c r="L42" s="38"/>
      <c r="M42" s="8"/>
    </row>
    <row r="43" spans="10:14" x14ac:dyDescent="0.25">
      <c r="J43" s="1"/>
      <c r="K43" s="38"/>
      <c r="L43" s="38"/>
      <c r="M43" s="8"/>
    </row>
    <row r="44" spans="10:14" x14ac:dyDescent="0.25">
      <c r="J44" s="1"/>
      <c r="K44" s="38"/>
      <c r="L44" s="38"/>
      <c r="M44" s="8"/>
    </row>
    <row r="45" spans="10:14" x14ac:dyDescent="0.25">
      <c r="J45" s="1"/>
      <c r="K45" s="38"/>
      <c r="L45" s="38"/>
      <c r="M45" s="8"/>
    </row>
    <row r="46" spans="10:14" x14ac:dyDescent="0.25">
      <c r="J46" s="1"/>
      <c r="K46" s="38"/>
      <c r="L46" s="38"/>
      <c r="M46" s="8"/>
    </row>
    <row r="47" spans="10:14" x14ac:dyDescent="0.25">
      <c r="J47" s="1"/>
      <c r="K47" s="38"/>
      <c r="L47" s="38"/>
      <c r="M47" s="8"/>
    </row>
    <row r="48" spans="10:14" x14ac:dyDescent="0.25">
      <c r="J48" s="1"/>
      <c r="K48" s="38"/>
      <c r="L48" s="38"/>
      <c r="M48" s="8"/>
    </row>
    <row r="49" spans="10:13" x14ac:dyDescent="0.25">
      <c r="J49" s="1"/>
      <c r="K49" s="38"/>
      <c r="L49" s="38"/>
      <c r="M49" s="8"/>
    </row>
    <row r="50" spans="10:13" x14ac:dyDescent="0.25">
      <c r="J50" s="1"/>
      <c r="K50" s="38"/>
      <c r="L50" s="38"/>
      <c r="M50" s="8"/>
    </row>
    <row r="51" spans="10:13" x14ac:dyDescent="0.25">
      <c r="J51" s="1"/>
      <c r="K51" s="38"/>
      <c r="L51" s="38"/>
      <c r="M51" s="8"/>
    </row>
    <row r="52" spans="10:13" x14ac:dyDescent="0.25">
      <c r="J52" s="1"/>
      <c r="K52" s="38"/>
      <c r="L52" s="38"/>
      <c r="M52" s="8"/>
    </row>
    <row r="53" spans="10:13" x14ac:dyDescent="0.25">
      <c r="J53" s="1"/>
      <c r="K53" s="38"/>
      <c r="L53" s="38"/>
      <c r="M53" s="8"/>
    </row>
    <row r="54" spans="10:13" x14ac:dyDescent="0.25">
      <c r="J54" s="1"/>
      <c r="K54" s="22"/>
      <c r="L54" s="22"/>
      <c r="M54" s="2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B12"/>
  <sheetViews>
    <sheetView workbookViewId="0">
      <selection activeCell="H26" sqref="H26"/>
    </sheetView>
  </sheetViews>
  <sheetFormatPr baseColWidth="10" defaultRowHeight="15" x14ac:dyDescent="0.25"/>
  <cols>
    <col min="1" max="1" width="12" customWidth="1"/>
  </cols>
  <sheetData>
    <row r="2" spans="1:2" s="12" customFormat="1" x14ac:dyDescent="0.25">
      <c r="A2" s="12" t="s">
        <v>29</v>
      </c>
    </row>
    <row r="4" spans="1:2" x14ac:dyDescent="0.25">
      <c r="A4" s="1" t="s">
        <v>28</v>
      </c>
      <c r="B4" s="20">
        <f>9600-3538.17</f>
        <v>6061.83</v>
      </c>
    </row>
    <row r="5" spans="1:2" x14ac:dyDescent="0.25">
      <c r="A5" t="s">
        <v>30</v>
      </c>
      <c r="B5" s="20">
        <f>+'RUTAS-SOCIOS'!C9</f>
        <v>14155.4</v>
      </c>
    </row>
    <row r="6" spans="1:2" x14ac:dyDescent="0.25">
      <c r="A6" t="s">
        <v>31</v>
      </c>
      <c r="B6" s="20">
        <f>-'INVERSIONES-GTO.CORRIENTE'!C9-'INVERSIONES-GTO.CORRIENTE'!C32</f>
        <v>-14360.966</v>
      </c>
    </row>
    <row r="7" spans="1:2" x14ac:dyDescent="0.25">
      <c r="A7" s="1" t="s">
        <v>32</v>
      </c>
      <c r="B7" s="22">
        <f>+B4+B5+B6</f>
        <v>5856.2639999999992</v>
      </c>
    </row>
    <row r="9" spans="1:2" x14ac:dyDescent="0.25">
      <c r="A9" t="s">
        <v>36</v>
      </c>
    </row>
    <row r="12" spans="1:2" x14ac:dyDescent="0.25">
      <c r="A12" s="1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3A1BD-13CB-4424-AC46-67E92C52E13B}">
  <dimension ref="A1:N14"/>
  <sheetViews>
    <sheetView workbookViewId="0">
      <selection activeCell="L29" sqref="L29"/>
    </sheetView>
  </sheetViews>
  <sheetFormatPr baseColWidth="10" defaultRowHeight="15" x14ac:dyDescent="0.25"/>
  <cols>
    <col min="1" max="1" width="29.28515625" bestFit="1" customWidth="1"/>
    <col min="2" max="2" width="8.7109375" style="50" hidden="1" customWidth="1"/>
    <col min="3" max="3" width="13.85546875" customWidth="1"/>
    <col min="4" max="4" width="7.5703125" hidden="1" customWidth="1"/>
    <col min="5" max="5" width="6.28515625" style="51" hidden="1" customWidth="1"/>
    <col min="6" max="6" width="13.85546875" style="50" hidden="1" customWidth="1"/>
    <col min="7" max="7" width="12.5703125" hidden="1" customWidth="1"/>
    <col min="8" max="8" width="18.7109375" customWidth="1"/>
    <col min="9" max="9" width="23.7109375" style="50" customWidth="1"/>
    <col min="10" max="10" width="7.85546875" style="50" customWidth="1"/>
    <col min="11" max="11" width="19.85546875" style="50" customWidth="1"/>
    <col min="12" max="12" width="18.85546875" style="50" customWidth="1"/>
  </cols>
  <sheetData>
    <row r="1" spans="1:14" x14ac:dyDescent="0.25">
      <c r="A1" s="42" t="s">
        <v>64</v>
      </c>
      <c r="B1" s="43" t="s">
        <v>14</v>
      </c>
      <c r="C1" s="42" t="s">
        <v>65</v>
      </c>
      <c r="D1" s="42" t="s">
        <v>66</v>
      </c>
      <c r="E1" s="44" t="s">
        <v>67</v>
      </c>
      <c r="F1" s="43" t="s">
        <v>68</v>
      </c>
      <c r="G1" s="42" t="s">
        <v>69</v>
      </c>
      <c r="H1" s="42" t="s">
        <v>70</v>
      </c>
      <c r="I1" s="43" t="s">
        <v>71</v>
      </c>
      <c r="J1" s="43" t="s">
        <v>59</v>
      </c>
      <c r="K1" s="43" t="s">
        <v>72</v>
      </c>
      <c r="L1" s="43" t="s">
        <v>73</v>
      </c>
      <c r="M1" s="43" t="s">
        <v>83</v>
      </c>
      <c r="N1" s="43" t="s">
        <v>89</v>
      </c>
    </row>
    <row r="2" spans="1:14" x14ac:dyDescent="0.25">
      <c r="A2" s="42" t="s">
        <v>74</v>
      </c>
      <c r="B2" s="43">
        <v>12</v>
      </c>
      <c r="C2" s="56">
        <v>100</v>
      </c>
      <c r="D2" s="45">
        <f>B2*C2</f>
        <v>1200</v>
      </c>
      <c r="E2" s="44">
        <v>0.21</v>
      </c>
      <c r="F2" s="43">
        <f>D2*E2</f>
        <v>252</v>
      </c>
      <c r="G2" s="43">
        <f>D2+F2</f>
        <v>1452</v>
      </c>
      <c r="H2" s="43">
        <f>G2/C2</f>
        <v>14.52</v>
      </c>
      <c r="I2" s="43">
        <v>4.5199999999999996</v>
      </c>
      <c r="J2" s="59">
        <f>+Tabla1[[#This Row],[Descuento club/unidad]]/Tabla1[[#This Row],[Precio por unidad]]</f>
        <v>0.31129476584022037</v>
      </c>
      <c r="K2" s="43">
        <f>I2*C2</f>
        <v>451.99999999999994</v>
      </c>
      <c r="L2" s="43">
        <v>10</v>
      </c>
      <c r="M2" s="43">
        <f>Tabla1[[#This Row],[Precio final socia/o]]*Tabla1[[#This Row],[Unidades]]</f>
        <v>1000</v>
      </c>
      <c r="N2" s="43">
        <f>+Tabla1[[#This Row],[Precio por unidad]]*Tabla1[[#This Row],[Unidades]]</f>
        <v>1452</v>
      </c>
    </row>
    <row r="3" spans="1:14" x14ac:dyDescent="0.25">
      <c r="A3" s="42" t="s">
        <v>75</v>
      </c>
      <c r="B3" s="43">
        <v>16</v>
      </c>
      <c r="C3" s="56">
        <v>100</v>
      </c>
      <c r="D3" s="45">
        <f>B3*C3</f>
        <v>1600</v>
      </c>
      <c r="E3" s="44">
        <v>0.21</v>
      </c>
      <c r="F3" s="43">
        <f>D3*E3</f>
        <v>336</v>
      </c>
      <c r="G3" s="43">
        <f>D3+F3</f>
        <v>1936</v>
      </c>
      <c r="H3" s="43">
        <f>G3/C3</f>
        <v>19.36</v>
      </c>
      <c r="I3" s="43">
        <v>4.3600000000000003</v>
      </c>
      <c r="J3" s="59">
        <f>+Tabla1[[#This Row],[Descuento club/unidad]]/Tabla1[[#This Row],[Precio por unidad]]</f>
        <v>0.22520661157024796</v>
      </c>
      <c r="K3" s="43">
        <f>I3*C3</f>
        <v>436.00000000000006</v>
      </c>
      <c r="L3" s="43">
        <v>15</v>
      </c>
      <c r="M3" s="43">
        <f>Tabla1[[#This Row],[Precio final socia/o]]*Tabla1[[#This Row],[Unidades]]</f>
        <v>1500</v>
      </c>
      <c r="N3" s="43">
        <f>+Tabla1[[#This Row],[Precio por unidad]]*Tabla1[[#This Row],[Unidades]]</f>
        <v>1936</v>
      </c>
    </row>
    <row r="4" spans="1:14" x14ac:dyDescent="0.25">
      <c r="A4" s="42" t="s">
        <v>76</v>
      </c>
      <c r="B4" s="43">
        <v>16</v>
      </c>
      <c r="C4" s="56">
        <v>100</v>
      </c>
      <c r="D4" s="45">
        <f>B4*C4</f>
        <v>1600</v>
      </c>
      <c r="E4" s="44">
        <v>0.21</v>
      </c>
      <c r="F4" s="43">
        <f>D4*E4</f>
        <v>336</v>
      </c>
      <c r="G4" s="43">
        <f>D4+F4</f>
        <v>1936</v>
      </c>
      <c r="H4" s="43">
        <f>G4/C4</f>
        <v>19.36</v>
      </c>
      <c r="I4" s="43">
        <v>4.3600000000000003</v>
      </c>
      <c r="J4" s="59">
        <f>+Tabla1[[#This Row],[Descuento club/unidad]]/Tabla1[[#This Row],[Precio por unidad]]</f>
        <v>0.22520661157024796</v>
      </c>
      <c r="K4" s="43">
        <f>I4*C4</f>
        <v>436.00000000000006</v>
      </c>
      <c r="L4" s="43">
        <v>15</v>
      </c>
      <c r="M4" s="43">
        <f>Tabla1[[#This Row],[Precio final socia/o]]*Tabla1[[#This Row],[Unidades]]</f>
        <v>1500</v>
      </c>
      <c r="N4" s="43">
        <f>+Tabla1[[#This Row],[Precio por unidad]]*Tabla1[[#This Row],[Unidades]]</f>
        <v>1936</v>
      </c>
    </row>
    <row r="5" spans="1:14" x14ac:dyDescent="0.25">
      <c r="A5" s="42"/>
      <c r="B5" s="43"/>
      <c r="C5" s="42"/>
      <c r="D5" s="45"/>
      <c r="E5" s="60"/>
      <c r="F5" s="43"/>
      <c r="G5" s="43"/>
      <c r="H5" s="43"/>
      <c r="I5" s="43"/>
      <c r="J5" s="43"/>
      <c r="K5" s="43"/>
      <c r="L5" s="43"/>
      <c r="M5" s="43">
        <f>SUM(M2:M4)</f>
        <v>4000</v>
      </c>
      <c r="N5" s="43">
        <f>SUM(N2:N4)</f>
        <v>5324</v>
      </c>
    </row>
    <row r="6" spans="1:14" s="1" customFormat="1" x14ac:dyDescent="0.25">
      <c r="A6" s="46" t="s">
        <v>77</v>
      </c>
      <c r="C6" s="47" t="s">
        <v>78</v>
      </c>
      <c r="E6" s="48"/>
      <c r="F6" s="49"/>
      <c r="I6" s="49"/>
      <c r="J6" s="49"/>
      <c r="K6" s="49"/>
      <c r="L6" s="49"/>
    </row>
    <row r="7" spans="1:14" s="1" customFormat="1" x14ac:dyDescent="0.25">
      <c r="A7" s="46" t="s">
        <v>79</v>
      </c>
      <c r="C7" s="47" t="s">
        <v>78</v>
      </c>
      <c r="E7" s="48"/>
      <c r="F7" s="49"/>
      <c r="I7" s="49"/>
      <c r="J7" s="49"/>
      <c r="K7" s="49"/>
      <c r="L7" s="49"/>
    </row>
    <row r="8" spans="1:14" s="1" customFormat="1" x14ac:dyDescent="0.25">
      <c r="A8" s="46" t="s">
        <v>80</v>
      </c>
      <c r="C8" s="47" t="s">
        <v>78</v>
      </c>
      <c r="E8" s="48"/>
      <c r="F8" s="49"/>
      <c r="I8" s="49"/>
      <c r="J8" s="49"/>
      <c r="K8" s="49"/>
      <c r="L8" s="49"/>
    </row>
    <row r="9" spans="1:14" s="1" customFormat="1" x14ac:dyDescent="0.25">
      <c r="A9" s="46" t="s">
        <v>81</v>
      </c>
      <c r="C9" s="47" t="s">
        <v>78</v>
      </c>
      <c r="E9" s="48"/>
      <c r="F9" s="49"/>
      <c r="I9" s="49"/>
      <c r="J9" s="49"/>
      <c r="K9" s="49"/>
      <c r="L9" s="49"/>
    </row>
    <row r="10" spans="1:14" s="1" customFormat="1" x14ac:dyDescent="0.25">
      <c r="B10" s="49"/>
      <c r="E10" s="48"/>
      <c r="F10" s="49"/>
      <c r="I10" s="49"/>
      <c r="J10" s="49"/>
      <c r="K10" s="49"/>
      <c r="L10" s="49"/>
    </row>
    <row r="11" spans="1:14" x14ac:dyDescent="0.25">
      <c r="B11" s="46"/>
    </row>
    <row r="12" spans="1:14" x14ac:dyDescent="0.25">
      <c r="B12" s="46"/>
    </row>
    <row r="13" spans="1:14" x14ac:dyDescent="0.25">
      <c r="B13" s="46"/>
    </row>
    <row r="14" spans="1:14" x14ac:dyDescent="0.25">
      <c r="B14" s="46"/>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LICENCIAS FEDERATIVAS</vt:lpstr>
      <vt:lpstr>RUTAS-SOCIOS</vt:lpstr>
      <vt:lpstr>INVERSIONES-GTO.CORRIENTE</vt:lpstr>
      <vt:lpstr>RESULTADOS</vt:lpstr>
      <vt:lpstr>TESORERIA</vt:lpstr>
      <vt:lpstr>Descuentos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Luis Velar</cp:lastModifiedBy>
  <dcterms:created xsi:type="dcterms:W3CDTF">2023-12-21T21:06:51Z</dcterms:created>
  <dcterms:modified xsi:type="dcterms:W3CDTF">2024-01-23T15:55:27Z</dcterms:modified>
</cp:coreProperties>
</file>